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16" windowHeight="7152" activeTab="2"/>
  </bookViews>
  <sheets>
    <sheet name="Дод 1" sheetId="2" r:id="rId1"/>
    <sheet name="дод 2 " sheetId="12" r:id="rId2"/>
    <sheet name="дод 3 " sheetId="4" r:id="rId3"/>
    <sheet name="дод 4" sheetId="5" r:id="rId4"/>
    <sheet name="Дод 5 " sheetId="10" r:id="rId5"/>
    <sheet name="дод 6 " sheetId="7" r:id="rId6"/>
    <sheet name="дод7" sheetId="1" r:id="rId7"/>
    <sheet name="дод 8" sheetId="9" r:id="rId8"/>
    <sheet name="дод 9" sheetId="13" r:id="rId9"/>
  </sheets>
  <externalReferences>
    <externalReference r:id="rId10"/>
  </externalReferences>
  <definedNames>
    <definedName name="_xlnm._FilterDatabase" localSheetId="5" hidden="1">'дод 6 '!#REF!</definedName>
    <definedName name="_xlnm._FilterDatabase" localSheetId="7" hidden="1">'дод 8'!$A$6:$E$205</definedName>
    <definedName name="_xlnm.Print_Titles" localSheetId="1">'дод 2 '!$12:$12</definedName>
    <definedName name="_xlnm.Print_Titles" localSheetId="2">'дод 3 '!$8:$11</definedName>
    <definedName name="_xlnm.Print_Titles" localSheetId="4">'Дод 5 '!$10:$11</definedName>
    <definedName name="_xlnm.Print_Titles" localSheetId="5">'дод 6 '!$9:$9</definedName>
    <definedName name="_xlnm.Print_Titles" localSheetId="7">'дод 8'!$6:$6</definedName>
    <definedName name="_xlnm.Print_Titles" localSheetId="6">дод7!$7:$9</definedName>
    <definedName name="_xlnm.Print_Area" localSheetId="1">'дод 2 '!$A$1:$F$49</definedName>
    <definedName name="_xlnm.Print_Area" localSheetId="4">'Дод 5 '!$A$1:$C$145</definedName>
    <definedName name="_xlnm.Print_Area" localSheetId="7">'дод 8'!$A$1:$E$219</definedName>
    <definedName name="_xlnm.Print_Area" localSheetId="8">'дод 9'!$A$1:$I$71</definedName>
  </definedNames>
  <calcPr calcId="144525"/>
</workbook>
</file>

<file path=xl/calcChain.xml><?xml version="1.0" encoding="utf-8"?>
<calcChain xmlns="http://schemas.openxmlformats.org/spreadsheetml/2006/main">
  <c r="I141" i="4" l="1"/>
  <c r="H136" i="4"/>
  <c r="C127" i="10"/>
  <c r="C97" i="10"/>
  <c r="C99" i="10"/>
  <c r="C98" i="10"/>
  <c r="G110" i="7"/>
  <c r="I110" i="7"/>
  <c r="J72" i="1"/>
  <c r="I72" i="1"/>
  <c r="G66" i="1"/>
  <c r="J60" i="1"/>
  <c r="I60" i="1"/>
  <c r="G78" i="1"/>
  <c r="G77" i="1"/>
  <c r="H83" i="1"/>
  <c r="H82" i="1"/>
  <c r="H79" i="1"/>
  <c r="H60" i="1"/>
  <c r="H50" i="1"/>
  <c r="H43" i="1"/>
  <c r="H36" i="1"/>
  <c r="H30" i="1"/>
  <c r="H32" i="1"/>
  <c r="H31" i="1"/>
  <c r="H22" i="1"/>
  <c r="H12" i="1"/>
  <c r="C64" i="9"/>
  <c r="E21" i="12" l="1"/>
  <c r="D21" i="12"/>
  <c r="D23" i="12"/>
  <c r="E25" i="12"/>
  <c r="K103" i="4" l="1"/>
  <c r="L88" i="4"/>
  <c r="R103" i="4"/>
  <c r="K70" i="4"/>
  <c r="R70" i="4" s="1"/>
  <c r="Q88" i="4"/>
  <c r="P88" i="4"/>
  <c r="O88" i="4"/>
  <c r="N88" i="4"/>
  <c r="M88" i="4"/>
  <c r="J88" i="4"/>
  <c r="I88" i="4"/>
  <c r="H88" i="4"/>
  <c r="G88" i="4"/>
  <c r="G154" i="4"/>
  <c r="F103" i="4"/>
  <c r="C70" i="9"/>
  <c r="I68" i="13" l="1"/>
  <c r="H68" i="13"/>
  <c r="I67" i="13"/>
  <c r="H67" i="13"/>
  <c r="I66" i="13"/>
  <c r="H66" i="13"/>
  <c r="I65" i="13"/>
  <c r="H65" i="13"/>
  <c r="I64" i="13"/>
  <c r="H64" i="13"/>
  <c r="I63" i="13"/>
  <c r="H63" i="13"/>
  <c r="I62" i="13"/>
  <c r="H62" i="13"/>
  <c r="I61" i="13"/>
  <c r="H61" i="13"/>
  <c r="I60" i="13"/>
  <c r="H60" i="13"/>
  <c r="I59" i="13"/>
  <c r="H59" i="13"/>
  <c r="I58" i="13"/>
  <c r="H58" i="13"/>
  <c r="I57" i="13"/>
  <c r="H57" i="13"/>
  <c r="I56" i="13"/>
  <c r="H56" i="13"/>
  <c r="I55" i="13"/>
  <c r="H55" i="13"/>
  <c r="I54" i="13"/>
  <c r="H54" i="13"/>
  <c r="I53" i="13"/>
  <c r="H53" i="13"/>
  <c r="I52" i="13"/>
  <c r="H52" i="13"/>
  <c r="I51" i="13"/>
  <c r="H51" i="13"/>
  <c r="I50" i="13"/>
  <c r="H50" i="13"/>
  <c r="I49" i="13"/>
  <c r="H49" i="13"/>
  <c r="I48" i="13"/>
  <c r="H48" i="13"/>
  <c r="I47" i="13"/>
  <c r="H47" i="13"/>
  <c r="I46" i="13"/>
  <c r="H46" i="13"/>
  <c r="I45" i="13"/>
  <c r="H45" i="13"/>
  <c r="I44" i="13"/>
  <c r="H44" i="13"/>
  <c r="I43" i="13"/>
  <c r="H43" i="13"/>
  <c r="I42" i="13"/>
  <c r="H42" i="13"/>
  <c r="I41" i="13"/>
  <c r="H41" i="13"/>
  <c r="I40" i="13"/>
  <c r="H40" i="13"/>
  <c r="I39" i="13"/>
  <c r="H39" i="13"/>
  <c r="I38" i="13"/>
  <c r="H38" i="13"/>
  <c r="I37" i="13"/>
  <c r="H37" i="13"/>
  <c r="I36" i="13"/>
  <c r="H36" i="13"/>
  <c r="I35" i="13"/>
  <c r="H35" i="13"/>
  <c r="I34" i="13"/>
  <c r="H34" i="13"/>
  <c r="I33" i="13"/>
  <c r="H33" i="13"/>
  <c r="I32" i="13"/>
  <c r="H32" i="13"/>
  <c r="I31" i="13"/>
  <c r="H31" i="13"/>
  <c r="I30" i="13"/>
  <c r="H30" i="13"/>
  <c r="I29" i="13"/>
  <c r="H29" i="13"/>
  <c r="I28" i="13"/>
  <c r="H28" i="13"/>
  <c r="I27" i="13"/>
  <c r="H27" i="13"/>
  <c r="I26" i="13"/>
  <c r="H26" i="13"/>
  <c r="I25" i="13"/>
  <c r="H25" i="13"/>
  <c r="I24" i="13"/>
  <c r="H24" i="13"/>
  <c r="I23" i="13"/>
  <c r="H23" i="13"/>
  <c r="I22" i="13"/>
  <c r="H22" i="13"/>
  <c r="I21" i="13"/>
  <c r="H21" i="13"/>
  <c r="I20" i="13"/>
  <c r="H20" i="13"/>
  <c r="I19" i="13"/>
  <c r="H19" i="13"/>
  <c r="I18" i="13"/>
  <c r="H18" i="13"/>
  <c r="I17" i="13"/>
  <c r="H17" i="13"/>
  <c r="I16" i="13"/>
  <c r="H16" i="13"/>
  <c r="I15" i="13"/>
  <c r="H15" i="13"/>
  <c r="I14" i="13"/>
  <c r="H14" i="13"/>
  <c r="I13" i="13"/>
  <c r="H13" i="13"/>
  <c r="I12" i="13"/>
  <c r="H12" i="13"/>
  <c r="I11" i="13"/>
  <c r="H11" i="13"/>
  <c r="I10" i="13"/>
  <c r="H10" i="13"/>
  <c r="I9" i="13"/>
  <c r="H9" i="13"/>
  <c r="I8" i="13"/>
  <c r="H8" i="13"/>
  <c r="C99" i="9" l="1"/>
  <c r="H80" i="1" l="1"/>
  <c r="H76" i="1"/>
  <c r="H75" i="1"/>
  <c r="K75" i="1" s="1"/>
  <c r="F75" i="10"/>
  <c r="F76" i="10" s="1"/>
  <c r="C73" i="10"/>
  <c r="C72" i="10"/>
  <c r="C74" i="10"/>
  <c r="C70" i="10" l="1"/>
  <c r="F74" i="10"/>
  <c r="F72" i="10"/>
  <c r="F73" i="10"/>
  <c r="H51" i="1"/>
  <c r="H61" i="1" l="1"/>
  <c r="H59" i="1"/>
  <c r="J75" i="1" l="1"/>
  <c r="J73" i="1" s="1"/>
  <c r="K80" i="1" l="1"/>
  <c r="G146" i="10" l="1"/>
  <c r="F146" i="10"/>
  <c r="F104" i="4"/>
  <c r="F102" i="4"/>
  <c r="F101" i="4"/>
  <c r="F100" i="4"/>
  <c r="J100" i="1" l="1"/>
  <c r="I100" i="1"/>
  <c r="G68" i="1" l="1"/>
  <c r="G67" i="1"/>
  <c r="H28" i="1"/>
  <c r="C42" i="10"/>
  <c r="C33" i="10"/>
  <c r="C52" i="10"/>
  <c r="C71" i="10"/>
  <c r="C58" i="10"/>
  <c r="K106" i="4"/>
  <c r="R106" i="4" s="1"/>
  <c r="K105" i="4"/>
  <c r="R105" i="4" s="1"/>
  <c r="F87" i="2"/>
  <c r="E87" i="2"/>
  <c r="D87" i="2"/>
  <c r="C94" i="2"/>
  <c r="J42" i="1" l="1"/>
  <c r="I42" i="1"/>
  <c r="I99" i="7"/>
  <c r="C152" i="10" l="1"/>
  <c r="C151" i="10"/>
  <c r="C150" i="10"/>
  <c r="C149" i="10"/>
  <c r="C102" i="10" l="1"/>
  <c r="G90" i="4" l="1"/>
  <c r="F90" i="4" s="1"/>
  <c r="G70" i="1"/>
  <c r="G45" i="1"/>
  <c r="C23" i="10"/>
  <c r="G15" i="4"/>
  <c r="F71" i="4"/>
  <c r="R71" i="4" s="1"/>
  <c r="G44" i="1"/>
  <c r="J36" i="1"/>
  <c r="I36" i="1"/>
  <c r="J33" i="1"/>
  <c r="I33" i="1"/>
  <c r="H33" i="1"/>
  <c r="C15" i="10"/>
  <c r="C21" i="10"/>
  <c r="C19" i="10"/>
  <c r="C103" i="10"/>
  <c r="F65" i="4"/>
  <c r="R65" i="4" s="1"/>
  <c r="O13" i="4"/>
  <c r="N13" i="4"/>
  <c r="M13" i="4"/>
  <c r="J13" i="4"/>
  <c r="I13" i="4"/>
  <c r="H13" i="4"/>
  <c r="G13" i="4"/>
  <c r="G115" i="4"/>
  <c r="K109" i="4"/>
  <c r="K108" i="4"/>
  <c r="C32" i="10"/>
  <c r="C36" i="10"/>
  <c r="F80" i="2"/>
  <c r="E80" i="2"/>
  <c r="D80" i="2"/>
  <c r="C84" i="2"/>
  <c r="G157" i="4" l="1"/>
  <c r="G156" i="4"/>
  <c r="C214" i="9" l="1"/>
  <c r="D214" i="9" s="1"/>
  <c r="C167" i="9"/>
  <c r="G101" i="1"/>
  <c r="H99" i="1"/>
  <c r="J99" i="1"/>
  <c r="I99" i="1"/>
  <c r="G98" i="1"/>
  <c r="G97" i="1"/>
  <c r="G96" i="1"/>
  <c r="G95" i="1"/>
  <c r="H94" i="1"/>
  <c r="G94" i="1" s="1"/>
  <c r="G93" i="1"/>
  <c r="G92" i="1"/>
  <c r="J91" i="1"/>
  <c r="I91" i="1"/>
  <c r="H90" i="1"/>
  <c r="G90" i="1" s="1"/>
  <c r="G89" i="1"/>
  <c r="H88" i="1"/>
  <c r="G88" i="1"/>
  <c r="H87" i="1"/>
  <c r="G87" i="1" s="1"/>
  <c r="G86" i="1"/>
  <c r="H85" i="1"/>
  <c r="G85" i="1" s="1"/>
  <c r="H84" i="1"/>
  <c r="G84" i="1"/>
  <c r="G83" i="1"/>
  <c r="G82" i="1"/>
  <c r="G81" i="1"/>
  <c r="G80" i="1"/>
  <c r="G79" i="1"/>
  <c r="G76" i="1"/>
  <c r="K79" i="1"/>
  <c r="K81" i="1" s="1"/>
  <c r="I75" i="1"/>
  <c r="I73" i="1" s="1"/>
  <c r="G75" i="1"/>
  <c r="G74" i="1"/>
  <c r="H72" i="1"/>
  <c r="G72" i="1" s="1"/>
  <c r="H71" i="1"/>
  <c r="G71" i="1"/>
  <c r="G69" i="1"/>
  <c r="G65" i="1"/>
  <c r="H64" i="1"/>
  <c r="G64" i="1"/>
  <c r="G63" i="1"/>
  <c r="G62" i="1"/>
  <c r="G61" i="1"/>
  <c r="J56" i="1"/>
  <c r="I56" i="1"/>
  <c r="G59" i="1"/>
  <c r="H58" i="1"/>
  <c r="H56" i="1" s="1"/>
  <c r="G57" i="1"/>
  <c r="G54" i="1"/>
  <c r="I53" i="1"/>
  <c r="G53" i="1" s="1"/>
  <c r="G52" i="1"/>
  <c r="G51" i="1"/>
  <c r="G50" i="1"/>
  <c r="G49" i="1"/>
  <c r="G48" i="1"/>
  <c r="G47" i="1"/>
  <c r="G46" i="1"/>
  <c r="G43" i="1"/>
  <c r="G42" i="1"/>
  <c r="G41" i="1"/>
  <c r="J40" i="1"/>
  <c r="J10" i="1" s="1"/>
  <c r="I40" i="1"/>
  <c r="G40" i="1" s="1"/>
  <c r="G39" i="1"/>
  <c r="H38" i="1"/>
  <c r="G38" i="1"/>
  <c r="G37" i="1"/>
  <c r="G36" i="1"/>
  <c r="G35" i="1"/>
  <c r="G34" i="1"/>
  <c r="G33" i="1"/>
  <c r="G32" i="1"/>
  <c r="G31" i="1"/>
  <c r="G30" i="1"/>
  <c r="G29" i="1"/>
  <c r="G28" i="1"/>
  <c r="G27" i="1"/>
  <c r="G26" i="1"/>
  <c r="H25" i="1"/>
  <c r="G25" i="1" s="1"/>
  <c r="H24" i="1"/>
  <c r="G24" i="1"/>
  <c r="H23" i="1"/>
  <c r="G23" i="1" s="1"/>
  <c r="G22" i="1"/>
  <c r="H21" i="1"/>
  <c r="G21" i="1" s="1"/>
  <c r="H20" i="1"/>
  <c r="G20" i="1" s="1"/>
  <c r="H19" i="1"/>
  <c r="G19" i="1" s="1"/>
  <c r="G18" i="1"/>
  <c r="G17" i="1"/>
  <c r="I16" i="1"/>
  <c r="I10" i="1" s="1"/>
  <c r="H16" i="1"/>
  <c r="H15" i="1"/>
  <c r="G15" i="1"/>
  <c r="G14" i="1"/>
  <c r="H13" i="1"/>
  <c r="G13" i="1" s="1"/>
  <c r="G12" i="1"/>
  <c r="H11" i="1"/>
  <c r="G11" i="1"/>
  <c r="I122" i="7"/>
  <c r="I121" i="7" s="1"/>
  <c r="I120" i="7" s="1"/>
  <c r="I112" i="7"/>
  <c r="I108" i="7"/>
  <c r="I97" i="7"/>
  <c r="G97" i="7"/>
  <c r="I83" i="7"/>
  <c r="I82" i="7"/>
  <c r="I23" i="7"/>
  <c r="I17" i="7"/>
  <c r="C144" i="10"/>
  <c r="C137" i="10"/>
  <c r="C134" i="10"/>
  <c r="C132" i="10" s="1"/>
  <c r="C113" i="10"/>
  <c r="C121" i="10" s="1"/>
  <c r="C95" i="10"/>
  <c r="E85" i="10"/>
  <c r="C83" i="10"/>
  <c r="C81" i="10" s="1"/>
  <c r="E82" i="10"/>
  <c r="C69" i="10"/>
  <c r="C66" i="10" s="1"/>
  <c r="C54" i="10"/>
  <c r="C46" i="10"/>
  <c r="C51" i="10"/>
  <c r="C50" i="10"/>
  <c r="C44" i="10"/>
  <c r="C43" i="10" s="1"/>
  <c r="C31" i="10"/>
  <c r="C27" i="10" s="1"/>
  <c r="C30" i="10"/>
  <c r="C29" i="10"/>
  <c r="C18" i="10"/>
  <c r="C17" i="10"/>
  <c r="C14" i="10"/>
  <c r="C13" i="10"/>
  <c r="Q156" i="4"/>
  <c r="P156" i="4"/>
  <c r="O156" i="4"/>
  <c r="N156" i="4"/>
  <c r="M156" i="4"/>
  <c r="L156" i="4"/>
  <c r="J156" i="4"/>
  <c r="I156" i="4"/>
  <c r="H156" i="4"/>
  <c r="K154" i="4"/>
  <c r="F154" i="4"/>
  <c r="K153" i="4"/>
  <c r="F153" i="4"/>
  <c r="K152" i="4"/>
  <c r="F152" i="4"/>
  <c r="K151" i="4"/>
  <c r="F151" i="4"/>
  <c r="Q150" i="4"/>
  <c r="Q149" i="4" s="1"/>
  <c r="P150" i="4"/>
  <c r="P149" i="4" s="1"/>
  <c r="O150" i="4"/>
  <c r="O149" i="4" s="1"/>
  <c r="N150" i="4"/>
  <c r="N149" i="4" s="1"/>
  <c r="M150" i="4"/>
  <c r="M149" i="4" s="1"/>
  <c r="L150" i="4"/>
  <c r="L149" i="4" s="1"/>
  <c r="J150" i="4"/>
  <c r="J149" i="4" s="1"/>
  <c r="I150" i="4"/>
  <c r="I149" i="4" s="1"/>
  <c r="H150" i="4"/>
  <c r="H149" i="4" s="1"/>
  <c r="G150" i="4"/>
  <c r="G149" i="4" s="1"/>
  <c r="K148" i="4"/>
  <c r="F148" i="4"/>
  <c r="K147" i="4"/>
  <c r="F147" i="4"/>
  <c r="K146" i="4"/>
  <c r="F146" i="4"/>
  <c r="Q145" i="4"/>
  <c r="Q137" i="4" s="1"/>
  <c r="Q136" i="4" s="1"/>
  <c r="P145" i="4"/>
  <c r="K145" i="4"/>
  <c r="F145" i="4"/>
  <c r="K144" i="4"/>
  <c r="F144" i="4"/>
  <c r="K143" i="4"/>
  <c r="F143" i="4"/>
  <c r="P142" i="4"/>
  <c r="P137" i="4" s="1"/>
  <c r="P136" i="4" s="1"/>
  <c r="K142" i="4"/>
  <c r="F142" i="4"/>
  <c r="K141" i="4"/>
  <c r="F141" i="4"/>
  <c r="O139" i="4"/>
  <c r="N139" i="4"/>
  <c r="M139" i="4"/>
  <c r="L139" i="4"/>
  <c r="F138" i="4"/>
  <c r="R138" i="4" s="1"/>
  <c r="O137" i="4"/>
  <c r="N137" i="4"/>
  <c r="N136" i="4" s="1"/>
  <c r="M137" i="4"/>
  <c r="M136" i="4" s="1"/>
  <c r="L137" i="4"/>
  <c r="L136" i="4" s="1"/>
  <c r="J137" i="4"/>
  <c r="J136" i="4" s="1"/>
  <c r="I137" i="4"/>
  <c r="I136" i="4" s="1"/>
  <c r="H137" i="4"/>
  <c r="G137" i="4"/>
  <c r="G136" i="4" s="1"/>
  <c r="O136" i="4"/>
  <c r="F135" i="4"/>
  <c r="R135" i="4" s="1"/>
  <c r="K134" i="4"/>
  <c r="F134" i="4"/>
  <c r="K133" i="4"/>
  <c r="F133" i="4"/>
  <c r="R133" i="4" s="1"/>
  <c r="K132" i="4"/>
  <c r="F132" i="4"/>
  <c r="K131" i="4"/>
  <c r="F131" i="4"/>
  <c r="K130" i="4"/>
  <c r="F130" i="4"/>
  <c r="K129" i="4"/>
  <c r="F129" i="4"/>
  <c r="K128" i="4"/>
  <c r="F128" i="4"/>
  <c r="K127" i="4"/>
  <c r="F127" i="4"/>
  <c r="K126" i="4"/>
  <c r="R126" i="4" s="1"/>
  <c r="K125" i="4"/>
  <c r="F125" i="4"/>
  <c r="K124" i="4"/>
  <c r="F124" i="4"/>
  <c r="K123" i="4"/>
  <c r="F123" i="4"/>
  <c r="K122" i="4"/>
  <c r="F122" i="4"/>
  <c r="K121" i="4"/>
  <c r="F121" i="4"/>
  <c r="K120" i="4"/>
  <c r="F120" i="4"/>
  <c r="K119" i="4"/>
  <c r="F119" i="4"/>
  <c r="K118" i="4"/>
  <c r="F118" i="4"/>
  <c r="K117" i="4"/>
  <c r="F117" i="4"/>
  <c r="K116" i="4"/>
  <c r="F116" i="4"/>
  <c r="Q115" i="4"/>
  <c r="P115" i="4"/>
  <c r="O115" i="4"/>
  <c r="N115" i="4"/>
  <c r="M115" i="4"/>
  <c r="L115" i="4"/>
  <c r="J115" i="4"/>
  <c r="J157" i="4" s="1"/>
  <c r="I115" i="4"/>
  <c r="H115" i="4"/>
  <c r="H157" i="4" s="1"/>
  <c r="Q114" i="4"/>
  <c r="Q113" i="4" s="1"/>
  <c r="P114" i="4"/>
  <c r="P113" i="4" s="1"/>
  <c r="O114" i="4"/>
  <c r="N114" i="4"/>
  <c r="N113" i="4" s="1"/>
  <c r="M114" i="4"/>
  <c r="M113" i="4" s="1"/>
  <c r="L114" i="4"/>
  <c r="L113" i="4" s="1"/>
  <c r="J114" i="4"/>
  <c r="J113" i="4" s="1"/>
  <c r="I114" i="4"/>
  <c r="I113" i="4" s="1"/>
  <c r="H114" i="4"/>
  <c r="H113" i="4" s="1"/>
  <c r="G114" i="4"/>
  <c r="G113" i="4" s="1"/>
  <c r="O113" i="4"/>
  <c r="K112" i="4"/>
  <c r="F112" i="4"/>
  <c r="K111" i="4"/>
  <c r="F111" i="4"/>
  <c r="K110" i="4"/>
  <c r="F110" i="4"/>
  <c r="F109" i="4"/>
  <c r="R109" i="4" s="1"/>
  <c r="F108" i="4"/>
  <c r="R108" i="4" s="1"/>
  <c r="K107" i="4"/>
  <c r="F107" i="4"/>
  <c r="K104" i="4"/>
  <c r="K102" i="4"/>
  <c r="K101" i="4"/>
  <c r="K100" i="4"/>
  <c r="R100" i="4" s="1"/>
  <c r="K99" i="4"/>
  <c r="F99" i="4"/>
  <c r="K98" i="4"/>
  <c r="F98" i="4"/>
  <c r="K97" i="4"/>
  <c r="F97" i="4"/>
  <c r="R97" i="4" s="1"/>
  <c r="K96" i="4"/>
  <c r="K156" i="4" s="1"/>
  <c r="F96" i="4"/>
  <c r="K95" i="4"/>
  <c r="F95" i="4"/>
  <c r="K94" i="4"/>
  <c r="F94" i="4"/>
  <c r="K93" i="4"/>
  <c r="F93" i="4"/>
  <c r="R92" i="4"/>
  <c r="Q91" i="4"/>
  <c r="P91" i="4"/>
  <c r="O91" i="4"/>
  <c r="N91" i="4"/>
  <c r="M91" i="4"/>
  <c r="L91" i="4"/>
  <c r="J91" i="4"/>
  <c r="I91" i="4"/>
  <c r="H91" i="4"/>
  <c r="G91" i="4"/>
  <c r="Q90" i="4"/>
  <c r="Q157" i="4" s="1"/>
  <c r="P90" i="4"/>
  <c r="O90" i="4"/>
  <c r="N90" i="4"/>
  <c r="M90" i="4"/>
  <c r="L90" i="4"/>
  <c r="I90" i="4"/>
  <c r="Q89" i="4"/>
  <c r="P89" i="4"/>
  <c r="O89" i="4"/>
  <c r="N89" i="4"/>
  <c r="L89" i="4"/>
  <c r="J89" i="4"/>
  <c r="F89" i="4" s="1"/>
  <c r="Q87" i="4"/>
  <c r="P87" i="4"/>
  <c r="O87" i="4"/>
  <c r="N87" i="4"/>
  <c r="M87" i="4"/>
  <c r="L87" i="4"/>
  <c r="J87" i="4"/>
  <c r="I87" i="4"/>
  <c r="G87" i="4"/>
  <c r="O85" i="4"/>
  <c r="O86" i="4" s="1"/>
  <c r="N85" i="4"/>
  <c r="M85" i="4"/>
  <c r="M86" i="4" s="1"/>
  <c r="J85" i="4"/>
  <c r="J86" i="4" s="1"/>
  <c r="I85" i="4"/>
  <c r="H85" i="4"/>
  <c r="G85" i="4"/>
  <c r="P84" i="4"/>
  <c r="K84" i="4"/>
  <c r="F84" i="4"/>
  <c r="P83" i="4"/>
  <c r="K83" i="4"/>
  <c r="F83" i="4"/>
  <c r="P82" i="4"/>
  <c r="K82" i="4"/>
  <c r="F82" i="4"/>
  <c r="P81" i="4"/>
  <c r="K81" i="4"/>
  <c r="F81" i="4"/>
  <c r="P80" i="4"/>
  <c r="K80" i="4"/>
  <c r="K15" i="4" s="1"/>
  <c r="F80" i="4"/>
  <c r="Q79" i="4"/>
  <c r="P79" i="4"/>
  <c r="K79" i="4"/>
  <c r="F79" i="4"/>
  <c r="Q78" i="4"/>
  <c r="P78" i="4"/>
  <c r="K78" i="4"/>
  <c r="R78" i="4" s="1"/>
  <c r="P77" i="4"/>
  <c r="K77" i="4"/>
  <c r="F77" i="4"/>
  <c r="P76" i="4"/>
  <c r="K76" i="4"/>
  <c r="F76" i="4"/>
  <c r="P75" i="4"/>
  <c r="K75" i="4"/>
  <c r="R75" i="4" s="1"/>
  <c r="K74" i="4"/>
  <c r="F74" i="4"/>
  <c r="K73" i="4"/>
  <c r="F73" i="4"/>
  <c r="F72" i="4"/>
  <c r="R72" i="4" s="1"/>
  <c r="F70" i="4"/>
  <c r="K69" i="4"/>
  <c r="F69" i="4"/>
  <c r="K68" i="4"/>
  <c r="F68" i="4"/>
  <c r="K67" i="4"/>
  <c r="F67" i="4"/>
  <c r="P66" i="4"/>
  <c r="K66" i="4"/>
  <c r="F66" i="4"/>
  <c r="K64" i="4"/>
  <c r="F64" i="4"/>
  <c r="K63" i="4"/>
  <c r="R63" i="4" s="1"/>
  <c r="F63" i="4"/>
  <c r="K62" i="4"/>
  <c r="F62" i="4"/>
  <c r="K61" i="4"/>
  <c r="F61" i="4"/>
  <c r="K60" i="4"/>
  <c r="F60" i="4"/>
  <c r="K59" i="4"/>
  <c r="F59" i="4"/>
  <c r="K58" i="4"/>
  <c r="F58" i="4"/>
  <c r="K57" i="4"/>
  <c r="R57" i="4" s="1"/>
  <c r="K56" i="4"/>
  <c r="F56" i="4"/>
  <c r="K55" i="4"/>
  <c r="F55" i="4"/>
  <c r="K54" i="4"/>
  <c r="F54" i="4"/>
  <c r="K53" i="4"/>
  <c r="F53" i="4"/>
  <c r="K52" i="4"/>
  <c r="F52" i="4"/>
  <c r="K51" i="4"/>
  <c r="R51" i="4" s="1"/>
  <c r="K50" i="4"/>
  <c r="F50" i="4"/>
  <c r="K49" i="4"/>
  <c r="F49" i="4"/>
  <c r="K48" i="4"/>
  <c r="R48" i="4" s="1"/>
  <c r="K47" i="4"/>
  <c r="R47" i="4" s="1"/>
  <c r="K46" i="4"/>
  <c r="F46" i="4"/>
  <c r="K45" i="4"/>
  <c r="F45" i="4"/>
  <c r="K44" i="4"/>
  <c r="F44" i="4"/>
  <c r="K43" i="4"/>
  <c r="F43" i="4"/>
  <c r="K42" i="4"/>
  <c r="F42" i="4"/>
  <c r="F41" i="4"/>
  <c r="R41" i="4" s="1"/>
  <c r="K40" i="4"/>
  <c r="F40" i="4"/>
  <c r="K39" i="4"/>
  <c r="F39" i="4"/>
  <c r="K38" i="4"/>
  <c r="F38" i="4"/>
  <c r="F37" i="4"/>
  <c r="R37" i="4" s="1"/>
  <c r="K36" i="4"/>
  <c r="F36" i="4"/>
  <c r="K35" i="4"/>
  <c r="F35" i="4"/>
  <c r="K34" i="4"/>
  <c r="F34" i="4"/>
  <c r="L33" i="4"/>
  <c r="K33" i="4"/>
  <c r="F33" i="4"/>
  <c r="F32" i="4"/>
  <c r="R32" i="4" s="1"/>
  <c r="F31" i="4"/>
  <c r="R31" i="4" s="1"/>
  <c r="F30" i="4"/>
  <c r="R30" i="4" s="1"/>
  <c r="K29" i="4"/>
  <c r="F29" i="4"/>
  <c r="R28" i="4"/>
  <c r="K27" i="4"/>
  <c r="F27" i="4"/>
  <c r="F26" i="4"/>
  <c r="R26" i="4" s="1"/>
  <c r="R25" i="4"/>
  <c r="F24" i="4"/>
  <c r="R24" i="4" s="1"/>
  <c r="R23" i="4"/>
  <c r="R22" i="4"/>
  <c r="R21" i="4"/>
  <c r="R20" i="4"/>
  <c r="K19" i="4"/>
  <c r="F19" i="4"/>
  <c r="F18" i="4"/>
  <c r="K17" i="4"/>
  <c r="F17" i="4"/>
  <c r="K16" i="4"/>
  <c r="J16" i="4"/>
  <c r="G16" i="4"/>
  <c r="F16" i="4" s="1"/>
  <c r="Q15" i="4"/>
  <c r="P15" i="4"/>
  <c r="O15" i="4"/>
  <c r="N15" i="4"/>
  <c r="M15" i="4"/>
  <c r="L15" i="4"/>
  <c r="J15" i="4"/>
  <c r="F15" i="4" s="1"/>
  <c r="K14" i="4"/>
  <c r="F14" i="4"/>
  <c r="N12" i="4"/>
  <c r="I12" i="4"/>
  <c r="H12" i="4"/>
  <c r="G12" i="4"/>
  <c r="E45" i="12"/>
  <c r="D45" i="12"/>
  <c r="C45" i="12" s="1"/>
  <c r="F44" i="12"/>
  <c r="E44" i="12"/>
  <c r="D44" i="12"/>
  <c r="C44" i="12"/>
  <c r="E43" i="12"/>
  <c r="E42" i="12"/>
  <c r="C42" i="12" s="1"/>
  <c r="F41" i="12"/>
  <c r="E41" i="12"/>
  <c r="D41" i="12"/>
  <c r="C41" i="12" s="1"/>
  <c r="F40" i="12"/>
  <c r="F34" i="12" s="1"/>
  <c r="E40" i="12"/>
  <c r="E34" i="12" s="1"/>
  <c r="D40" i="12"/>
  <c r="C40" i="12" s="1"/>
  <c r="D39" i="12"/>
  <c r="F38" i="12"/>
  <c r="E38" i="12"/>
  <c r="D38" i="12"/>
  <c r="C38" i="12" s="1"/>
  <c r="F37" i="12"/>
  <c r="E37" i="12"/>
  <c r="D37" i="12"/>
  <c r="D34" i="12" s="1"/>
  <c r="C34" i="12" s="1"/>
  <c r="C37" i="12"/>
  <c r="F36" i="12"/>
  <c r="E36" i="12"/>
  <c r="D36" i="12"/>
  <c r="C36" i="12" s="1"/>
  <c r="F28" i="12"/>
  <c r="F46" i="12" s="1"/>
  <c r="E28" i="12"/>
  <c r="D28" i="12" s="1"/>
  <c r="F27" i="12"/>
  <c r="F45" i="12" s="1"/>
  <c r="D27" i="12"/>
  <c r="C27" i="12"/>
  <c r="C26" i="12"/>
  <c r="F25" i="12"/>
  <c r="F15" i="12" s="1"/>
  <c r="F14" i="12" s="1"/>
  <c r="F29" i="12" s="1"/>
  <c r="D25" i="12"/>
  <c r="D43" i="12" s="1"/>
  <c r="C24" i="12"/>
  <c r="G21" i="12"/>
  <c r="G23" i="12" s="1"/>
  <c r="C23" i="12"/>
  <c r="D22" i="12"/>
  <c r="D17" i="12" s="1"/>
  <c r="C17" i="12" s="1"/>
  <c r="C22" i="12"/>
  <c r="F21" i="12"/>
  <c r="F39" i="12" s="1"/>
  <c r="E39" i="12"/>
  <c r="C39" i="12" s="1"/>
  <c r="D20" i="12"/>
  <c r="C20" i="12"/>
  <c r="C19" i="12"/>
  <c r="F18" i="12"/>
  <c r="F16" i="12" s="1"/>
  <c r="E18" i="12"/>
  <c r="E15" i="12" s="1"/>
  <c r="E14" i="12" s="1"/>
  <c r="E29" i="12" s="1"/>
  <c r="D18" i="12"/>
  <c r="C18" i="12"/>
  <c r="F17" i="12"/>
  <c r="E17" i="12"/>
  <c r="D16" i="12"/>
  <c r="C95" i="2"/>
  <c r="C93" i="2"/>
  <c r="C92" i="2"/>
  <c r="C91" i="2"/>
  <c r="C90" i="2"/>
  <c r="C89" i="2"/>
  <c r="C88" i="2"/>
  <c r="C86" i="2"/>
  <c r="C85" i="2" s="1"/>
  <c r="E85" i="2"/>
  <c r="E79" i="2" s="1"/>
  <c r="E78" i="2" s="1"/>
  <c r="D85" i="2"/>
  <c r="C83" i="2"/>
  <c r="C82" i="2"/>
  <c r="C81" i="2"/>
  <c r="C76" i="2"/>
  <c r="C75" i="2" s="1"/>
  <c r="C74" i="2" s="1"/>
  <c r="F75" i="2"/>
  <c r="F74" i="2" s="1"/>
  <c r="E75" i="2"/>
  <c r="E74" i="2" s="1"/>
  <c r="D75" i="2"/>
  <c r="D74" i="2" s="1"/>
  <c r="C73" i="2"/>
  <c r="C72" i="2" s="1"/>
  <c r="F72" i="2"/>
  <c r="F71" i="2" s="1"/>
  <c r="E72" i="2"/>
  <c r="D72" i="2"/>
  <c r="D71" i="2" s="1"/>
  <c r="E71" i="2"/>
  <c r="E70" i="2" s="1"/>
  <c r="I70" i="2"/>
  <c r="J69" i="2"/>
  <c r="C69" i="2"/>
  <c r="J68" i="2"/>
  <c r="C68" i="2"/>
  <c r="H67" i="2"/>
  <c r="H70" i="2" s="1"/>
  <c r="E67" i="2"/>
  <c r="E66" i="2" s="1"/>
  <c r="D67" i="2"/>
  <c r="D66" i="2"/>
  <c r="C66" i="2" s="1"/>
  <c r="C65" i="2"/>
  <c r="C64" i="2"/>
  <c r="E63" i="2"/>
  <c r="D63" i="2"/>
  <c r="C62" i="2"/>
  <c r="C61" i="2"/>
  <c r="C60" i="2"/>
  <c r="E59" i="2"/>
  <c r="E58" i="2" s="1"/>
  <c r="D59" i="2"/>
  <c r="D58" i="2" s="1"/>
  <c r="C57" i="2"/>
  <c r="C56" i="2"/>
  <c r="C55" i="2" s="1"/>
  <c r="C54" i="2" s="1"/>
  <c r="E55" i="2"/>
  <c r="E54" i="2" s="1"/>
  <c r="D55" i="2"/>
  <c r="D54" i="2" s="1"/>
  <c r="F53" i="2"/>
  <c r="C52" i="2"/>
  <c r="C51" i="2"/>
  <c r="C50" i="2"/>
  <c r="E49" i="2"/>
  <c r="E48" i="2" s="1"/>
  <c r="E11" i="2" s="1"/>
  <c r="D49" i="2"/>
  <c r="D48" i="2" s="1"/>
  <c r="C47" i="2"/>
  <c r="C46" i="2"/>
  <c r="C45" i="2"/>
  <c r="E44" i="2"/>
  <c r="D44" i="2"/>
  <c r="C43" i="2"/>
  <c r="C42" i="2"/>
  <c r="C41" i="2"/>
  <c r="C40" i="2"/>
  <c r="C39" i="2"/>
  <c r="C38" i="2"/>
  <c r="C37" i="2"/>
  <c r="C36" i="2"/>
  <c r="C35" i="2"/>
  <c r="C34" i="2"/>
  <c r="E33" i="2"/>
  <c r="D33" i="2"/>
  <c r="C31" i="2"/>
  <c r="C30" i="2"/>
  <c r="C29" i="2" s="1"/>
  <c r="E29" i="2"/>
  <c r="D29" i="2"/>
  <c r="C28" i="2"/>
  <c r="C27" i="2" s="1"/>
  <c r="E27" i="2"/>
  <c r="D27" i="2"/>
  <c r="C25" i="2"/>
  <c r="D24" i="2"/>
  <c r="C24" i="2"/>
  <c r="C23" i="2"/>
  <c r="C22" i="2" s="1"/>
  <c r="D22" i="2"/>
  <c r="C20" i="2"/>
  <c r="D19" i="2"/>
  <c r="C19" i="2"/>
  <c r="C18" i="2"/>
  <c r="C17" i="2"/>
  <c r="C16" i="2"/>
  <c r="C15" i="2"/>
  <c r="C14" i="2"/>
  <c r="E13" i="2"/>
  <c r="E12" i="2" s="1"/>
  <c r="D13" i="2"/>
  <c r="D12" i="2" s="1"/>
  <c r="I106" i="7" l="1"/>
  <c r="I105" i="7" s="1"/>
  <c r="I11" i="7"/>
  <c r="I128" i="7" s="1"/>
  <c r="G100" i="1"/>
  <c r="G99" i="1" s="1"/>
  <c r="F88" i="4"/>
  <c r="R79" i="4"/>
  <c r="K88" i="4"/>
  <c r="K87" i="4" s="1"/>
  <c r="R54" i="4"/>
  <c r="C87" i="2"/>
  <c r="D32" i="2"/>
  <c r="C44" i="2"/>
  <c r="C21" i="2"/>
  <c r="D21" i="2"/>
  <c r="D26" i="2"/>
  <c r="D11" i="2" s="1"/>
  <c r="C67" i="2"/>
  <c r="E53" i="2"/>
  <c r="E77" i="2" s="1"/>
  <c r="E97" i="2" s="1"/>
  <c r="E32" i="2"/>
  <c r="C26" i="2"/>
  <c r="E26" i="2"/>
  <c r="C49" i="2"/>
  <c r="C48" i="2" s="1"/>
  <c r="G58" i="1"/>
  <c r="G91" i="1"/>
  <c r="H73" i="1"/>
  <c r="K82" i="1"/>
  <c r="N83" i="7"/>
  <c r="O83" i="7" s="1"/>
  <c r="R152" i="4"/>
  <c r="R141" i="4"/>
  <c r="C28" i="12"/>
  <c r="D46" i="12"/>
  <c r="E33" i="12"/>
  <c r="F33" i="12"/>
  <c r="E16" i="12"/>
  <c r="C16" i="12" s="1"/>
  <c r="D33" i="12"/>
  <c r="C33" i="12" s="1"/>
  <c r="C21" i="12"/>
  <c r="E32" i="12"/>
  <c r="E31" i="12" s="1"/>
  <c r="E47" i="12" s="1"/>
  <c r="E46" i="12"/>
  <c r="F43" i="12"/>
  <c r="F32" i="12" s="1"/>
  <c r="F31" i="12" s="1"/>
  <c r="F47" i="12" s="1"/>
  <c r="L85" i="4"/>
  <c r="L13" i="4"/>
  <c r="L12" i="4" s="1"/>
  <c r="L155" i="4" s="1"/>
  <c r="K89" i="4"/>
  <c r="R153" i="4"/>
  <c r="R144" i="4"/>
  <c r="R147" i="4"/>
  <c r="Q85" i="4"/>
  <c r="Q13" i="4"/>
  <c r="R118" i="4"/>
  <c r="R77" i="4"/>
  <c r="L157" i="4"/>
  <c r="V76" i="1"/>
  <c r="G73" i="1"/>
  <c r="C219" i="9"/>
  <c r="R134" i="4"/>
  <c r="N157" i="4"/>
  <c r="M157" i="4"/>
  <c r="R123" i="4"/>
  <c r="R128" i="4"/>
  <c r="R132" i="4"/>
  <c r="P157" i="4"/>
  <c r="R131" i="4"/>
  <c r="F87" i="4"/>
  <c r="P13" i="4"/>
  <c r="P12" i="4" s="1"/>
  <c r="P155" i="4" s="1"/>
  <c r="R14" i="4"/>
  <c r="J112" i="1"/>
  <c r="H91" i="1"/>
  <c r="G16" i="1"/>
  <c r="G10" i="1" s="1"/>
  <c r="G60" i="1"/>
  <c r="G56" i="1" s="1"/>
  <c r="H10" i="1"/>
  <c r="V79" i="1"/>
  <c r="I112" i="1"/>
  <c r="E84" i="10"/>
  <c r="C146" i="10"/>
  <c r="H146" i="10" s="1"/>
  <c r="R143" i="4"/>
  <c r="R146" i="4"/>
  <c r="P139" i="4"/>
  <c r="K150" i="4"/>
  <c r="K149" i="4" s="1"/>
  <c r="Q139" i="4"/>
  <c r="R142" i="4"/>
  <c r="R154" i="4"/>
  <c r="D70" i="2"/>
  <c r="C33" i="2"/>
  <c r="C63" i="2"/>
  <c r="R35" i="4"/>
  <c r="R27" i="4"/>
  <c r="R42" i="4"/>
  <c r="R39" i="4"/>
  <c r="R102" i="4"/>
  <c r="I157" i="4"/>
  <c r="R127" i="4"/>
  <c r="R120" i="4"/>
  <c r="R115" i="4" s="1"/>
  <c r="R124" i="4"/>
  <c r="R121" i="4"/>
  <c r="R125" i="4"/>
  <c r="R129" i="4"/>
  <c r="K113" i="4"/>
  <c r="O157" i="4"/>
  <c r="R122" i="4"/>
  <c r="R94" i="4"/>
  <c r="R110" i="4"/>
  <c r="S88" i="4"/>
  <c r="R60" i="4"/>
  <c r="R61" i="4"/>
  <c r="R62" i="4"/>
  <c r="F137" i="4"/>
  <c r="F136" i="4" s="1"/>
  <c r="R15" i="4"/>
  <c r="F156" i="4"/>
  <c r="R156" i="4" s="1"/>
  <c r="D53" i="2"/>
  <c r="C80" i="2"/>
  <c r="C79" i="2" s="1"/>
  <c r="C78" i="2" s="1"/>
  <c r="J67" i="2"/>
  <c r="J70" i="2" s="1"/>
  <c r="C13" i="2"/>
  <c r="C12" i="2" s="1"/>
  <c r="C59" i="2"/>
  <c r="I10" i="7"/>
  <c r="R64" i="4"/>
  <c r="K13" i="4"/>
  <c r="K12" i="4" s="1"/>
  <c r="R19" i="4"/>
  <c r="R36" i="4"/>
  <c r="R55" i="4"/>
  <c r="R68" i="4"/>
  <c r="R52" i="4"/>
  <c r="R29" i="4"/>
  <c r="R34" i="4"/>
  <c r="R17" i="4"/>
  <c r="F13" i="4"/>
  <c r="R80" i="4"/>
  <c r="R101" i="4"/>
  <c r="R44" i="4"/>
  <c r="K115" i="4"/>
  <c r="C43" i="12"/>
  <c r="D32" i="12"/>
  <c r="D15" i="12"/>
  <c r="C25" i="12"/>
  <c r="C145" i="10"/>
  <c r="C143" i="10" s="1"/>
  <c r="C25" i="10"/>
  <c r="C120" i="10" s="1"/>
  <c r="C119" i="10" s="1"/>
  <c r="C133" i="10"/>
  <c r="R148" i="4"/>
  <c r="K139" i="4"/>
  <c r="F150" i="4"/>
  <c r="F149" i="4" s="1"/>
  <c r="R151" i="4"/>
  <c r="R145" i="4"/>
  <c r="R130" i="4"/>
  <c r="R117" i="4"/>
  <c r="F115" i="4"/>
  <c r="F157" i="4" s="1"/>
  <c r="K114" i="4"/>
  <c r="R89" i="4"/>
  <c r="R104" i="4"/>
  <c r="R99" i="4"/>
  <c r="K91" i="4"/>
  <c r="F91" i="4"/>
  <c r="P85" i="4"/>
  <c r="R74" i="4"/>
  <c r="R69" i="4"/>
  <c r="R66" i="4"/>
  <c r="R59" i="4"/>
  <c r="R111" i="4"/>
  <c r="K90" i="4"/>
  <c r="R56" i="4"/>
  <c r="R112" i="4"/>
  <c r="J12" i="4"/>
  <c r="J155" i="4" s="1"/>
  <c r="R38" i="4"/>
  <c r="R43" i="4"/>
  <c r="R16" i="4"/>
  <c r="R33" i="4"/>
  <c r="R45" i="4"/>
  <c r="R46" i="4"/>
  <c r="I86" i="4"/>
  <c r="E83" i="10"/>
  <c r="C147" i="10"/>
  <c r="C215" i="9"/>
  <c r="C221" i="9" s="1"/>
  <c r="F114" i="4"/>
  <c r="F113" i="4" s="1"/>
  <c r="O12" i="4"/>
  <c r="O155" i="4" s="1"/>
  <c r="M12" i="4"/>
  <c r="M155" i="4" s="1"/>
  <c r="N86" i="4"/>
  <c r="R76" i="4"/>
  <c r="N155" i="4"/>
  <c r="R95" i="4"/>
  <c r="G155" i="4"/>
  <c r="R53" i="4"/>
  <c r="R49" i="4"/>
  <c r="R67" i="4"/>
  <c r="R58" i="4"/>
  <c r="K85" i="4"/>
  <c r="R73" i="4"/>
  <c r="R83" i="4"/>
  <c r="R93" i="4"/>
  <c r="R81" i="4"/>
  <c r="R84" i="4"/>
  <c r="R107" i="4"/>
  <c r="F85" i="4"/>
  <c r="R18" i="4"/>
  <c r="R40" i="4"/>
  <c r="R82" i="4"/>
  <c r="R98" i="4"/>
  <c r="I155" i="4"/>
  <c r="R50" i="4"/>
  <c r="G86" i="4"/>
  <c r="R116" i="4"/>
  <c r="H86" i="4"/>
  <c r="R119" i="4"/>
  <c r="R96" i="4"/>
  <c r="K137" i="4"/>
  <c r="K136" i="4" s="1"/>
  <c r="H87" i="4"/>
  <c r="H155" i="4" s="1"/>
  <c r="C70" i="2"/>
  <c r="F70" i="2"/>
  <c r="F77" i="2" s="1"/>
  <c r="F97" i="2" s="1"/>
  <c r="C71" i="2"/>
  <c r="D79" i="2"/>
  <c r="D78" i="2" s="1"/>
  <c r="R88" i="4" l="1"/>
  <c r="L86" i="4"/>
  <c r="D77" i="2"/>
  <c r="C32" i="2"/>
  <c r="C58" i="2"/>
  <c r="C53" i="2" s="1"/>
  <c r="H112" i="1"/>
  <c r="R149" i="4"/>
  <c r="P86" i="4"/>
  <c r="C220" i="9"/>
  <c r="D215" i="9"/>
  <c r="D221" i="9" s="1"/>
  <c r="R137" i="4"/>
  <c r="R136" i="4" s="1"/>
  <c r="G112" i="1"/>
  <c r="C148" i="10"/>
  <c r="D25" i="10"/>
  <c r="R150" i="4"/>
  <c r="R91" i="4"/>
  <c r="R90" i="4"/>
  <c r="K157" i="4"/>
  <c r="R157" i="4" s="1"/>
  <c r="D97" i="2"/>
  <c r="C11" i="2"/>
  <c r="C77" i="2" s="1"/>
  <c r="C97" i="2" s="1"/>
  <c r="R13" i="4"/>
  <c r="R12" i="4" s="1"/>
  <c r="D14" i="12"/>
  <c r="C15" i="12"/>
  <c r="C32" i="12"/>
  <c r="D31" i="12"/>
  <c r="R114" i="4"/>
  <c r="R113" i="4" s="1"/>
  <c r="K86" i="4"/>
  <c r="R85" i="4"/>
  <c r="Q12" i="4"/>
  <c r="Q155" i="4" s="1"/>
  <c r="Q86" i="4"/>
  <c r="F12" i="4"/>
  <c r="F155" i="4" s="1"/>
  <c r="F86" i="4"/>
  <c r="K155" i="4"/>
  <c r="E167" i="9" l="1"/>
  <c r="F158" i="4"/>
  <c r="C223" i="9"/>
  <c r="C224" i="9" s="1"/>
  <c r="R86" i="4"/>
  <c r="D47" i="12"/>
  <c r="C31" i="12"/>
  <c r="D29" i="12"/>
  <c r="C29" i="12" s="1"/>
  <c r="C14" i="12"/>
  <c r="R87" i="4"/>
  <c r="R155" i="4" s="1"/>
  <c r="S89" i="4"/>
  <c r="C218" i="9"/>
  <c r="D167" i="9"/>
  <c r="D218" i="9"/>
  <c r="S155" i="4" l="1"/>
  <c r="D224" i="9"/>
</calcChain>
</file>

<file path=xl/comments1.xml><?xml version="1.0" encoding="utf-8"?>
<comments xmlns="http://schemas.openxmlformats.org/spreadsheetml/2006/main">
  <authors>
    <author>Antonina</author>
  </authors>
  <commentList>
    <comment ref="A19" authorId="0">
      <text>
        <r>
          <rPr>
            <b/>
            <sz val="9"/>
            <color indexed="81"/>
            <rFont val="Tahoma"/>
            <family val="2"/>
            <charset val="204"/>
          </rPr>
          <t>Antonina:</t>
        </r>
        <r>
          <rPr>
            <sz val="9"/>
            <color indexed="81"/>
            <rFont val="Tahoma"/>
            <family val="2"/>
            <charset val="204"/>
          </rPr>
          <t xml:space="preserve">
</t>
        </r>
      </text>
    </comment>
  </commentList>
</comments>
</file>

<file path=xl/sharedStrings.xml><?xml version="1.0" encoding="utf-8"?>
<sst xmlns="http://schemas.openxmlformats.org/spreadsheetml/2006/main" count="2474" uniqueCount="1071">
  <si>
    <t>Додаток 7</t>
  </si>
  <si>
    <t>11503000000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</si>
  <si>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</si>
  <si>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</si>
  <si>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</si>
  <si>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</si>
  <si>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</si>
  <si>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</si>
  <si>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</si>
  <si>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</si>
  <si>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</si>
  <si>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</si>
  <si>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</si>
  <si>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</si>
  <si>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</si>
  <si>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</si>
  <si>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</si>
  <si>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</si>
  <si>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</si>
  <si>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</si>
  <si>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</si>
  <si>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Програма соціально-економічного та культурного розвитку Новоукраїнської міської об’єднаної територіальної громади на 2021 рік</t>
  </si>
  <si>
    <t>Рішення міської ради № 21 від 01.12.2020 року</t>
  </si>
  <si>
    <t>0110180</t>
  </si>
  <si>
    <t>0180</t>
  </si>
  <si>
    <t>0133</t>
  </si>
  <si>
    <t>Інша діяльність у сфері державного управління</t>
  </si>
  <si>
    <t>0113032</t>
  </si>
  <si>
    <t>3032</t>
  </si>
  <si>
    <t>1070</t>
  </si>
  <si>
    <t>Надання пільг окремим категоріям громадян з оплати послуг зв`язку</t>
  </si>
  <si>
    <t>Програма соціальної підтримки населення на території Новоукраїнської міської об'єднаної територіальної громади на 2021-2023 роки</t>
  </si>
  <si>
    <t>Рішення міської ради № 1864 від 13.10.2020 року</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</si>
  <si>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</si>
  <si>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</si>
  <si>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</si>
  <si>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</si>
  <si>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0113112</t>
  </si>
  <si>
    <t>3112</t>
  </si>
  <si>
    <t>1040</t>
  </si>
  <si>
    <t>Заходи державної політики з питань дітей та їх соціального захисту</t>
  </si>
  <si>
    <t>0113133</t>
  </si>
  <si>
    <t>3133</t>
  </si>
  <si>
    <t>Інші заходи та заклади молодіжної політики</t>
  </si>
  <si>
    <t>Програма "Сім’я та молодь" Новоукраїнської міської об’єднаної територіальної громади на 2018-2022 роки</t>
  </si>
  <si>
    <t>Рішення міської ради № 1862 від  13.10.2020 р</t>
  </si>
  <si>
    <t>0113140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</si>
  <si>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</si>
  <si>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</si>
  <si>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Програма оздоровлення та відпочинку дітей на 2017-2027 роки</t>
  </si>
  <si>
    <t>Рішення міської ради № 1444 від 10.10.2019 року</t>
  </si>
  <si>
    <t>0113160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</si>
  <si>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</si>
  <si>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</si>
  <si>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</si>
  <si>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0113191</t>
  </si>
  <si>
    <t>3191</t>
  </si>
  <si>
    <t>1030</t>
  </si>
  <si>
    <t>Інші видатки на соціальний захист ветеранів війни та праці</t>
  </si>
  <si>
    <t>0113210</t>
  </si>
  <si>
    <t>3210</t>
  </si>
  <si>
    <t>1050</t>
  </si>
  <si>
    <t>Організація та проведення громадських робіт</t>
  </si>
  <si>
    <t>0113242</t>
  </si>
  <si>
    <t>3242</t>
  </si>
  <si>
    <t>1090</t>
  </si>
  <si>
    <t>Інші заходи у сфері соціального захисту і соціального забезпечення</t>
  </si>
  <si>
    <t>Міська програма підтримки учасників антитерористичної операції (операції Об’єднаних сил) та членів їх сімей – мешканців Новоукраїнської міської об’єднаної територіальної громади на 2021-2023 роки</t>
  </si>
  <si>
    <t>Рішення міської ради № 1863 від 13.10.2020 року</t>
  </si>
  <si>
    <t>0115011</t>
  </si>
  <si>
    <t>5011</t>
  </si>
  <si>
    <t>0810</t>
  </si>
  <si>
    <t>Проведення навчально-тренувальних зборів і змагань з олімпійських видів спорту</t>
  </si>
  <si>
    <t>Програма розвитку фізичної культури і спорту Новоукраїнської об’єднаної територіальної громади на 2017-2027 роки</t>
  </si>
  <si>
    <t>Рішення міської ради № 1445 від 10.10.2019 року</t>
  </si>
  <si>
    <t>0115031</t>
  </si>
  <si>
    <t>5031</t>
  </si>
  <si>
    <t>Утримання та навчально-тренувальна робота комунальних дитячо-юнацьких спортивних шкіл</t>
  </si>
  <si>
    <t>0116013</t>
  </si>
  <si>
    <t>6013</t>
  </si>
  <si>
    <t>0620</t>
  </si>
  <si>
    <t>Забезпечення діяльності водопровідно-каналізаційного господарства</t>
  </si>
  <si>
    <t>Міська  програма "Питна  вода  на  2018-2025 роки"</t>
  </si>
  <si>
    <t>Рішення міської ради № 1844  від 13.10.2020 року</t>
  </si>
  <si>
    <t>0116014</t>
  </si>
  <si>
    <t>6014</t>
  </si>
  <si>
    <t>Забезпечення збору та вивезення сміття і відходів</t>
  </si>
  <si>
    <t>0116030</t>
  </si>
  <si>
    <t>6030</t>
  </si>
  <si>
    <t>Організація благоустрою населених пунктів</t>
  </si>
  <si>
    <t>Міська  програма "Про конкурс міні-проектів розвитку Новоукраїнської територіальної громади "Влада і громада – разом!" на 2021-2025 роки"</t>
  </si>
  <si>
    <t>Рішення міської ради № 23 від 01.12.2020 року</t>
  </si>
  <si>
    <t>Програма  реформування  і  розвитку житлово- комунального господарства  Новоукраїнської міської об’єднаної територіальної громади на 2018-2025 роки</t>
  </si>
  <si>
    <t>Рішення міської ради № 1843 від 13.10.2020 року</t>
  </si>
  <si>
    <t>Програму "Розвиток та удосконалення цивільного захисту населення Новоукраїнської міської об’єднаної  територіальної громади громади" на 2018-2022 роки</t>
  </si>
  <si>
    <t>Рішення міської ради № 1854  від 13.10.2020 року</t>
  </si>
  <si>
    <t>0116090</t>
  </si>
  <si>
    <t>6090</t>
  </si>
  <si>
    <t>0640</t>
  </si>
  <si>
    <t>Інша діяльність у сфері житлово-комунального господарства</t>
  </si>
  <si>
    <t>0117130</t>
  </si>
  <si>
    <t>7130</t>
  </si>
  <si>
    <t>0421</t>
  </si>
  <si>
    <t>Здійснення заходів із землеустрою</t>
  </si>
  <si>
    <t>0117461</t>
  </si>
  <si>
    <t>7461</t>
  </si>
  <si>
    <t>0456</t>
  </si>
  <si>
    <t>Утримання та розвиток автомобільних доріг та дорожньої інфраструктури за рахунок коштів місцевого бюджету</t>
  </si>
  <si>
    <t>0117610</t>
  </si>
  <si>
    <t>7610</t>
  </si>
  <si>
    <t>0411</t>
  </si>
  <si>
    <t>Сприяння розвитку малого та середнього підприємництва</t>
  </si>
  <si>
    <t>Програма підтримки суб’єктів малого і середнього бізнесу на території Новоукраїнської міської ради на 2017-2025 року</t>
  </si>
  <si>
    <t>Рішення міської ради № 1841 від 13.10.2020</t>
  </si>
  <si>
    <t>0117650</t>
  </si>
  <si>
    <t>7650</t>
  </si>
  <si>
    <t>0490</t>
  </si>
  <si>
    <t>Проведення експертної грошової оцінки земельної ділянки чи права на неї</t>
  </si>
  <si>
    <t>0117660</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</si>
  <si>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</si>
  <si>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</si>
  <si>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0117680</t>
  </si>
  <si>
    <t>7680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</si>
  <si>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</si>
  <si>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</si>
  <si>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</si>
  <si>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</si>
  <si>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</si>
  <si>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0118120</t>
  </si>
  <si>
    <t>8120</t>
  </si>
  <si>
    <t>Заходи з організації рятування на водах</t>
  </si>
  <si>
    <t>Комплексна програма попередження та припинення протиправних дій у сфері державної безпеки, профілактитки злочинності та цивільного захисту населення на території Новоукраїнської міської об’єднаної територіальної громади на 2018-2023 роки</t>
  </si>
  <si>
    <t>Рішення міської ради № 1865  від 13.10.2020 року</t>
  </si>
  <si>
    <t>0118340</t>
  </si>
  <si>
    <t>8340</t>
  </si>
  <si>
    <t>0540</t>
  </si>
  <si>
    <t>Природоохоронні заходи за рахунок цільових фондів</t>
  </si>
  <si>
    <t>0118420</t>
  </si>
  <si>
    <t>8420</t>
  </si>
  <si>
    <t>0830</t>
  </si>
  <si>
    <t>Інші заходи у сфері засобів масової інформації</t>
  </si>
  <si>
    <t>0600000</t>
  </si>
  <si>
    <t>Вiддiл освiти виконавчого комiтету Новоукраїнської мiської ради</t>
  </si>
  <si>
    <t>0611010</t>
  </si>
  <si>
    <t>0910</t>
  </si>
  <si>
    <t>Надання дошкільної освіти</t>
  </si>
  <si>
    <t>0611021</t>
  </si>
  <si>
    <t>1021</t>
  </si>
  <si>
    <t>0921</t>
  </si>
  <si>
    <t>Надання загальної середньої освіти закладами загальної середньої освіти</t>
  </si>
  <si>
    <t>0611070</t>
  </si>
  <si>
    <t>0960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</si>
  <si>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</si>
  <si>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</si>
  <si>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</si>
  <si>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</si>
  <si>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</si>
  <si>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</si>
  <si>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</si>
  <si>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</si>
  <si>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0613140</t>
  </si>
  <si>
    <t>1000000</t>
  </si>
  <si>
    <t>Вiддiл культури i туризму виконавчого комiтету Новоукраїнської мiської ради</t>
  </si>
  <si>
    <t>1011080</t>
  </si>
  <si>
    <t>1080</t>
  </si>
  <si>
    <t>Надання спеціальної освіти мистецькими школами</t>
  </si>
  <si>
    <t>1014082</t>
  </si>
  <si>
    <t>4082</t>
  </si>
  <si>
    <t>0829</t>
  </si>
  <si>
    <t>Інші заходи в галузі культури і мистецтва</t>
  </si>
  <si>
    <t>1017340</t>
  </si>
  <si>
    <t>7340</t>
  </si>
  <si>
    <t>0443</t>
  </si>
  <si>
    <t>Проектування, реставрація та охорона пам`яток архітектури</t>
  </si>
  <si>
    <t>Програми інвентаризації та паспортизації об'єктів культурної спадщини на території Новоукраїнської міської об’єднаної територіальної громади на 2018 - 2027 роки</t>
  </si>
  <si>
    <t>Рішення міської ради № 626 від 12.09.2017 року</t>
  </si>
  <si>
    <t>1017622</t>
  </si>
  <si>
    <t>7622</t>
  </si>
  <si>
    <t>0470</t>
  </si>
  <si>
    <t>Реалізація програм і заходів в галузі туризму та курортів</t>
  </si>
  <si>
    <t>Програми розвитку туризму  на території  Новоукраїнської міської об’єднаної територіальної громади на 2018-2026 роки</t>
  </si>
  <si>
    <t>Рішення міської ради № 739 від 12.12.2017 року</t>
  </si>
  <si>
    <t>УСЬОГО</t>
  </si>
  <si>
    <t>X</t>
  </si>
  <si>
    <t xml:space="preserve">до проекту рішення </t>
  </si>
  <si>
    <t>Новоукраїнської міської ради</t>
  </si>
  <si>
    <t>Додаток 1</t>
  </si>
  <si>
    <t>бюджету Новоукраїнської міської територіальної громади на 2021</t>
  </si>
  <si>
    <t>(гривень)</t>
  </si>
  <si>
    <t>Код</t>
  </si>
  <si>
    <t>Найменування згідно з Класифікацією доходів бюджету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</si>
  <si>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</si>
  <si>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</si>
  <si>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</si>
  <si>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</si>
  <si>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</si>
  <si>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</si>
  <si>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</si>
  <si>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</si>
  <si>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11010200</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</si>
  <si>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</si>
  <si>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</si>
  <si>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</si>
  <si>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</si>
  <si>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</si>
  <si>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11010900</t>
  </si>
  <si>
    <t>Податок на доходи фізичних осіб від оподаткування пенсійних виплат або щомісячного довічного грошового утримання, що сплачується (перераховується) згідно з Податковим кодексом України</t>
  </si>
  <si>
    <t>Податок на прибуток підприємств  </t>
  </si>
  <si>
    <t>Податок на прибуток підприємств та фінансових установ комунальної власності </t>
  </si>
  <si>
    <t>Рентна плата та плата за використання інших природних ресурсів </t>
  </si>
  <si>
    <t>Рентна плата за спеціальне використання лісових ресурсів </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</si>
  <si>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</si>
  <si>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користування надрами </t>
  </si>
  <si>
    <t>Рентна плата за користування надрами для видобування корисних копалин загальнодержавного значення </t>
  </si>
  <si>
    <t>14000000</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</si>
  <si>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</si>
  <si>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</si>
  <si>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</si>
  <si>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</si>
  <si>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</si>
  <si>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</si>
  <si>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</si>
  <si>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</si>
  <si>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</si>
  <si>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</si>
  <si>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18000000</t>
  </si>
  <si>
    <t>Місцеві податки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</si>
  <si>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</si>
  <si>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</si>
  <si>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</si>
  <si>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</si>
  <si>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</si>
  <si>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</si>
  <si>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</si>
  <si>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</si>
  <si>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</si>
  <si>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</si>
  <si>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</si>
  <si>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  </t>
  </si>
  <si>
    <t>18010600</t>
  </si>
  <si>
    <t>Орендна плата з юридичних осіб  </t>
  </si>
  <si>
    <t>18010700</t>
  </si>
  <si>
    <t>Земельний податок з фізичних осіб  </t>
  </si>
  <si>
    <t>18010900</t>
  </si>
  <si>
    <t>Орендна плата з фізичних осіб  </t>
  </si>
  <si>
    <t>18011000</t>
  </si>
  <si>
    <t>Транспортний податок з фізичних осіб</t>
  </si>
  <si>
    <t>18011100</t>
  </si>
  <si>
    <t>Транспортний податок з юридичних осіб</t>
  </si>
  <si>
    <t>18050000</t>
  </si>
  <si>
    <t>Єдиний податок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</si>
  <si>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</si>
  <si>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</si>
  <si>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</si>
  <si>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</si>
  <si>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</si>
  <si>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</si>
  <si>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</si>
  <si>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 </t>
  </si>
  <si>
    <t>19010000</t>
  </si>
  <si>
    <t>Екологічний податок </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</si>
  <si>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</si>
  <si>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дворокису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</si>
  <si>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</si>
  <si>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</si>
  <si>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</si>
  <si>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</si>
  <si>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20000000</t>
  </si>
  <si>
    <t>Неподаткові надходження  </t>
  </si>
  <si>
    <t>21000000</t>
  </si>
  <si>
    <t>Доходи від власності та підприємницької діяльності  </t>
  </si>
  <si>
    <t>21080000</t>
  </si>
  <si>
    <t>Інші надходження  </t>
  </si>
  <si>
    <t>21081100</t>
  </si>
  <si>
    <t>Адміністративні штрафи та інші санкції </t>
  </si>
  <si>
    <t>21081500</t>
  </si>
  <si>
    <t>Адміністративні штрафи та штрафні санкції за порушення законодавства у сфері виробництва та обігу алкогольних напоїв та тютюнових виробів</t>
  </si>
  <si>
    <t>22000000</t>
  </si>
  <si>
    <t>Адміністративні збори та платежі, доходи від некомерційної господарської діяльності </t>
  </si>
  <si>
    <t>22010000</t>
  </si>
  <si>
    <t>Плата за надання адміністративних послуг</t>
  </si>
  <si>
    <t>22010300</t>
  </si>
  <si>
    <t>Адміністративний збір за проведення державної реєстрації юридичних осіб, фізичних осіб – підприємців та громадських формувань</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</si>
  <si>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</si>
  <si>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</si>
  <si>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</si>
  <si>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</si>
  <si>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22090000</t>
  </si>
  <si>
    <t>Державне мито  </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</si>
  <si>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</si>
  <si>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</si>
  <si>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22090200</t>
  </si>
  <si>
    <t>Державне мито, не віднесене до інших категорій  </t>
  </si>
  <si>
    <t>25000000</t>
  </si>
  <si>
    <t>Власні надходження бюджетних установ  </t>
  </si>
  <si>
    <t>разом</t>
  </si>
  <si>
    <t>25010000</t>
  </si>
  <si>
    <t>Надходження від плати за послуги, що надаються бюджетними установами згідно із законодавством </t>
  </si>
  <si>
    <t>культ.</t>
  </si>
  <si>
    <t>25010100</t>
  </si>
  <si>
    <t>Плата за послуги, що надаються бюджетними установами згідно з їх основною діяльністю </t>
  </si>
  <si>
    <t xml:space="preserve">терцентр </t>
  </si>
  <si>
    <t>Осв.1738870; культ.116523; терц.60000</t>
  </si>
  <si>
    <t>25010300</t>
  </si>
  <si>
    <t>Плата за оренду майна бюджетних установ, що здійснюється відповідно до Закону України "Про оренду державного та комунального майна" </t>
  </si>
  <si>
    <t xml:space="preserve">освіта </t>
  </si>
  <si>
    <t>освіта 34104</t>
  </si>
  <si>
    <t>30000000</t>
  </si>
  <si>
    <t>Доходи від операцій з капіталом  </t>
  </si>
  <si>
    <t>31000000</t>
  </si>
  <si>
    <t>Надходження від продажу основного капіталу  </t>
  </si>
  <si>
    <t>31010000</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</si>
  <si>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власники яких невідомі </t>
  </si>
  <si>
    <t>31010200</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</si>
  <si>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</si>
  <si>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33000000</t>
  </si>
  <si>
    <t>Кошти від продажу землі і нематеріальних активів </t>
  </si>
  <si>
    <t>33010000</t>
  </si>
  <si>
    <t>Кошти від продажу землі  </t>
  </si>
  <si>
    <t>33010100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</si>
  <si>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</si>
  <si>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 xml:space="preserve">Усього ( без урахування міжбюджетних трансфертів) </t>
  </si>
  <si>
    <t>40000000</t>
  </si>
  <si>
    <t>Офіційні трансферти  </t>
  </si>
  <si>
    <t>41000000</t>
  </si>
  <si>
    <t>Від органів державного управління  </t>
  </si>
  <si>
    <t>41030000</t>
  </si>
  <si>
    <t>Субвенції  з державного бюджету місцевим бюджетам</t>
  </si>
  <si>
    <t>Субвенція з державного бюджету місцевим бюджетам на придбання витратних матеріалів для закладів охорони здоров'я та лікарських засобів для інгаляційної анестезії</t>
  </si>
  <si>
    <t>41033900</t>
  </si>
  <si>
    <t>Освітня субвенція з державного бюджету місцевим бюджетам</t>
  </si>
  <si>
    <t>41034200</t>
  </si>
  <si>
    <t>Медична субвенція з державного бюджету місцевим бюджетам</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</si>
  <si>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</si>
  <si>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</si>
  <si>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сума підлягає уточненню</t>
  </si>
  <si>
    <t>Субвенції з місцевих бюджетів іншим місцевим бюджетам</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</si>
  <si>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</si>
  <si>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за рахунок залишку коштів освітньої субвенції, що утворився на початок бюджетного періоду</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</si>
  <si>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</si>
  <si>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</si>
  <si>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</si>
  <si>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Інші субвенції з місцевого бюджету</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</si>
  <si>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</si>
  <si>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 xml:space="preserve"> </t>
  </si>
  <si>
    <t>Х</t>
  </si>
  <si>
    <t>Разом доходів</t>
  </si>
  <si>
    <t>Додаток 2</t>
  </si>
  <si>
    <t>ФІНАНСУВАННЯ</t>
  </si>
  <si>
    <t xml:space="preserve">Код </t>
  </si>
  <si>
    <t>Найменування згідно з класифікацією фінансування бюджету</t>
  </si>
  <si>
    <t>Фінансування за типом кредитора</t>
  </si>
  <si>
    <t>Внутрішнє фінансування</t>
  </si>
  <si>
    <t>Фінансування  за рахунок зміни залишків коштів  бюджетів</t>
  </si>
  <si>
    <t>у тому числі за рахунок залишків коштів, що склалися на початок року</t>
  </si>
  <si>
    <t>з них за рахунок залишків коштів субвенцій з державного бюджету</t>
  </si>
  <si>
    <t>На початок періоду</t>
  </si>
  <si>
    <t>На кінець періоду</t>
  </si>
  <si>
    <t>Кошти, що передаються із загального фонду бюджету до бюджету розвитку (спеціального фонду)</t>
  </si>
  <si>
    <t>у тому числі за рахунок:</t>
  </si>
  <si>
    <t>субвенцій з державного бюджету</t>
  </si>
  <si>
    <t>Загальне фінансування</t>
  </si>
  <si>
    <t>Фінансування за типом боргового зобов'язання</t>
  </si>
  <si>
    <t>Фінансування за активними операціями</t>
  </si>
  <si>
    <t>602000</t>
  </si>
  <si>
    <t>Зміни обсягів бюджетних коштів</t>
  </si>
  <si>
    <t>з них за рахунок залишків коштів  субвенцій з державного бюджету</t>
  </si>
  <si>
    <t>602100</t>
  </si>
  <si>
    <t>602200</t>
  </si>
  <si>
    <t>602400</t>
  </si>
  <si>
    <t>субвенцій з місцевого бюджету</t>
  </si>
  <si>
    <t>Додаток 3</t>
  </si>
  <si>
    <r>
      <t>Код Програмної класифікації видатків та кредитування місцевих бюджетів</t>
    </r>
    <r>
      <rPr>
        <vertAlign val="superscript"/>
        <sz val="8"/>
        <rFont val="Times New Roman"/>
        <family val="1"/>
        <charset val="204"/>
      </rPr>
      <t>1</t>
    </r>
  </si>
  <si>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</si>
  <si>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</si>
  <si>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Разом</t>
  </si>
  <si>
    <t>видатки споживання</t>
  </si>
  <si>
    <t>з них</t>
  </si>
  <si>
    <t>видатки розвитку</t>
  </si>
  <si>
    <t>з них капітальні видатки за рахунок коштів, що передаються із загального фонду до бюджету розвитку (спеціального фонду)</t>
  </si>
  <si>
    <t>оплата праці</t>
  </si>
  <si>
    <t>комунальні послуги та енергоносії</t>
  </si>
  <si>
    <t>1</t>
  </si>
  <si>
    <t>2</t>
  </si>
  <si>
    <t>3</t>
  </si>
  <si>
    <t>0110000</t>
  </si>
  <si>
    <t>у тому числі за рахунок субвенції з :</t>
  </si>
  <si>
    <t>державного бюджету:</t>
  </si>
  <si>
    <t>місцевих бюджетів:</t>
  </si>
  <si>
    <t xml:space="preserve">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 </t>
  </si>
  <si>
    <t>у тому числі за рахунок субвенції з місцевих бюджетів:</t>
  </si>
  <si>
    <t>2010</t>
  </si>
  <si>
    <t>0731</t>
  </si>
  <si>
    <t>Багатопрофільна стаціонарна медична допомога населенню</t>
  </si>
  <si>
    <t>2111</t>
  </si>
  <si>
    <t>0726</t>
  </si>
  <si>
    <t>Первинна медична допомога населенню, що надається центрами первинної медичної (медико-санітарної) допомоги</t>
  </si>
  <si>
    <t>у тому числі субвенція з:</t>
  </si>
  <si>
    <t>місцевого бюджету за рахунок відповідної субвенції з державного бюджету:</t>
  </si>
  <si>
    <t>у тому числі за рахунок іншої субвенції з місцевого бюджету</t>
  </si>
  <si>
    <t>0112144</t>
  </si>
  <si>
    <t>2144</t>
  </si>
  <si>
    <t>0763</t>
  </si>
  <si>
    <t>Централізовані заходи з лікування хворих на цукровий та нецукровий діабет</t>
  </si>
  <si>
    <t>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</si>
  <si>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іншої субвенції з місцевого бюджету</t>
  </si>
  <si>
    <t>Надання пільг окремим категоріям громадян з оплати послуг зв'язку</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</si>
  <si>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</si>
  <si>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0113121</t>
  </si>
  <si>
    <t>3121</t>
  </si>
  <si>
    <t xml:space="preserve">Утримання та забезпечення діяльності центрів соціальних служб </t>
  </si>
  <si>
    <t>0113192</t>
  </si>
  <si>
    <t>Надання фінансової підтримки громадським організаціям ветеранів і осіб з інвалідністю, діяльність яких має соціальну спрямованість</t>
  </si>
  <si>
    <t>0113241</t>
  </si>
  <si>
    <t>3241</t>
  </si>
  <si>
    <t>Забезпечення діяльності інших закладів у сфері соціального захисту і соціального забезпечення</t>
  </si>
  <si>
    <t>у тому числі за рахунок субвенції з місцевих бюджетів</t>
  </si>
  <si>
    <t>0116071</t>
  </si>
  <si>
    <t>6071</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</si>
  <si>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</si>
  <si>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0117330</t>
  </si>
  <si>
    <t>7330</t>
  </si>
  <si>
    <t>Будівництво інших об'єктів комунальної власності</t>
  </si>
  <si>
    <t>0117350</t>
  </si>
  <si>
    <t>7350</t>
  </si>
  <si>
    <t>Розроблення схем планування та забудови територій (містобудівної документації)</t>
  </si>
  <si>
    <t>0118230</t>
  </si>
  <si>
    <t>8230</t>
  </si>
  <si>
    <t>0380</t>
  </si>
  <si>
    <t>Інші заходи громадського порядку та безпеки</t>
  </si>
  <si>
    <t>0119410</t>
  </si>
  <si>
    <t>9410</t>
  </si>
  <si>
    <t>Субвенція з місцевого бюджету на здійснення переданих видатків у сфері охорони здоров"я за рахунок коштів медичної субвенції</t>
  </si>
  <si>
    <t>у тому числі за рахунок субвенції з державного бюджету:</t>
  </si>
  <si>
    <t>0114080</t>
  </si>
  <si>
    <r>
      <t xml:space="preserve">Відділ освіти виконавчого комітету Новоукраїнської </t>
    </r>
    <r>
      <rPr>
        <b/>
        <sz val="12"/>
        <color indexed="8"/>
        <rFont val="Times New Roman"/>
        <family val="1"/>
        <charset val="204"/>
      </rPr>
      <t>міської ради</t>
    </r>
  </si>
  <si>
    <t>0610000</t>
  </si>
  <si>
    <t>0160</t>
  </si>
  <si>
    <t xml:space="preserve">Керівництво і управління у відповідній сфері у містах (місті Києві), селищах, селах територіальних громадах </t>
  </si>
  <si>
    <t>1000</t>
  </si>
  <si>
    <t>у тому числі за рахунок субвенції з місцевого бюджету на здійснення переданих видатків у сфері освіти за рахунок коштів освітньої субвенції</t>
  </si>
  <si>
    <t>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</si>
  <si>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Надання дошкільної освiти</t>
  </si>
  <si>
    <t xml:space="preserve">Надання загальної середньої освіти закладами загальної середньої освіти </t>
  </si>
  <si>
    <t>0611031</t>
  </si>
  <si>
    <t>1031</t>
  </si>
  <si>
    <t>0611160</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</si>
  <si>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</si>
  <si>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</si>
  <si>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</si>
  <si>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</si>
  <si>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</si>
  <si>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коштів освітньої субвенції</t>
  </si>
  <si>
    <t>1160</t>
  </si>
  <si>
    <t>Забезпечення діяльності центрів професійного розвитку педагогічних працівників</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</si>
  <si>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</si>
  <si>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</si>
  <si>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</si>
  <si>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Відділ культури і туризму виконавчого комітету Новоукраїнської міської ради</t>
  </si>
  <si>
    <t>1010160</t>
  </si>
  <si>
    <t>1010000</t>
  </si>
  <si>
    <t xml:space="preserve">Надання спеціальної освіти мистецькими школами </t>
  </si>
  <si>
    <t>1014030</t>
  </si>
  <si>
    <t>4030</t>
  </si>
  <si>
    <t>0824</t>
  </si>
  <si>
    <t>Забезпечення діяльності бiблiотек</t>
  </si>
  <si>
    <t>1014040</t>
  </si>
  <si>
    <t>4040</t>
  </si>
  <si>
    <t>Забезпечення діяльності музеїв і виставок</t>
  </si>
  <si>
    <t>1014060</t>
  </si>
  <si>
    <t>4060</t>
  </si>
  <si>
    <t>0828</t>
  </si>
  <si>
    <t>Забезпечення діяльності палаців i будинків культури, клубів, центрів дозвілля та iнших клубних закладів</t>
  </si>
  <si>
    <t>1014081</t>
  </si>
  <si>
    <t>4081</t>
  </si>
  <si>
    <t xml:space="preserve">Забезпечення діяльності інших закладів в галузі культури і мистецтва </t>
  </si>
  <si>
    <t>Проектування, реставрація та охорона пам'яток архітектури</t>
  </si>
  <si>
    <t>3700000</t>
  </si>
  <si>
    <t xml:space="preserve">Фінансове управління  Новоукраїнської міської ради </t>
  </si>
  <si>
    <t>3710000</t>
  </si>
  <si>
    <t>3710160</t>
  </si>
  <si>
    <t>3718710</t>
  </si>
  <si>
    <t>8710</t>
  </si>
  <si>
    <t>Резервний фонд місцевого бюджету</t>
  </si>
  <si>
    <t>х</t>
  </si>
  <si>
    <t xml:space="preserve">Всього: </t>
  </si>
  <si>
    <t>у тому числі за рахунок субвенцій з державного бюджету</t>
  </si>
  <si>
    <t>у тому числі за рахунок субвенцій з місцевого бюджету</t>
  </si>
  <si>
    <t>Додаток 4</t>
  </si>
  <si>
    <t>КРЕДИТУВАННЯ</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</si>
  <si>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</si>
  <si>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Надання кредитів</t>
  </si>
  <si>
    <t>Повернення кредитів</t>
  </si>
  <si>
    <t>Кредитування, усього</t>
  </si>
  <si>
    <t>загальний фонд</t>
  </si>
  <si>
    <t>спеціальний фонд</t>
  </si>
  <si>
    <t>-</t>
  </si>
  <si>
    <t>Додаток 5</t>
  </si>
  <si>
    <t xml:space="preserve">      1. Показники міжбюджетних трансфертів з інших бюджетів</t>
  </si>
  <si>
    <t>(грн)</t>
  </si>
  <si>
    <t>Код Класифікації доходу бюджету/ Код бюджету</t>
  </si>
  <si>
    <t>Найменування трансферту/ Найменування бюджету – надавача міжбюджетного трансферту</t>
  </si>
  <si>
    <t>І. Трансферти до загального фонду бюджету</t>
  </si>
  <si>
    <t>Освітня субвенція з державного бюджету місцевим бюджетам </t>
  </si>
  <si>
    <t>99000000000</t>
  </si>
  <si>
    <t>Державний бюджет</t>
  </si>
  <si>
    <t>41040200</t>
  </si>
  <si>
    <t>11100000000</t>
  </si>
  <si>
    <t>Обласний бюджет Кіровоградської області</t>
  </si>
  <si>
    <t>41051000</t>
  </si>
  <si>
    <t>41051200</t>
  </si>
  <si>
    <t>41053900</t>
  </si>
  <si>
    <t>11523000000</t>
  </si>
  <si>
    <t xml:space="preserve">Бюджет Глодоської сільської територіальної громади </t>
  </si>
  <si>
    <t>11549000000</t>
  </si>
  <si>
    <t>Бюджет Рівнянської сільської територіальної громади</t>
  </si>
  <si>
    <t>41055000</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</si>
  <si>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</si>
  <si>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ІІ. Трансферти до спеціального фонду бюджету</t>
  </si>
  <si>
    <t xml:space="preserve">УСЬОГО за розділом І та ІІ, у тому числі: </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</si>
  <si>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</si>
  <si>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</si>
  <si>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</si>
  <si>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Додаток 6</t>
  </si>
  <si>
    <t xml:space="preserve">Розподіл коштів бюджету розвитку Новоукраїнської  міської територіальної громади на здійснення заходів із будівництва, реконструкції і реставрації, капітального ремонту об'єктів виробничої, комунікаційної та соціальної інфраструктури за об'єктами у 2021 році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</si>
  <si>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</si>
  <si>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</si>
  <si>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Код Функціона-льної класифікації видатків та креди-тування бюджету</t>
  </si>
  <si>
    <t>Найменування головного розпорядника коштів обласного бюджету,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</si>
  <si>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 xml:space="preserve">Найменування об'єкта будівництва / вид будівельних робіт, у тому числі проектні роботи
</t>
  </si>
  <si>
    <t xml:space="preserve">Загальна тривалість будівництва (рік початку і завершення)
</t>
  </si>
  <si>
    <t xml:space="preserve">Загальна вартість будівництва, гривень
</t>
  </si>
  <si>
    <t>Рівень виконання робіт на початок бюджетного періоду, %</t>
  </si>
  <si>
    <t>Обсяг видатків бюджету розвитку, які спрямовуються на будівництво об'єкта у бюджетному періоді, гривень</t>
  </si>
  <si>
    <t>у тому числі за рахунок коштів:</t>
  </si>
  <si>
    <t>Рівень готовності об’єкта на кінець бюджетного періоду, %</t>
  </si>
  <si>
    <t>0117310</t>
  </si>
  <si>
    <t>7310</t>
  </si>
  <si>
    <t>Будівництво об'єктів житлово-комунального господарства</t>
  </si>
  <si>
    <t>з них:</t>
  </si>
  <si>
    <t>0117362</t>
  </si>
  <si>
    <t>7362</t>
  </si>
  <si>
    <t>Виконання інвестиційних проектів в рамках формування інфраструктури об'єднаних територіальних громад</t>
  </si>
  <si>
    <t>в тому числі за рахунок коштів державного бюджету на формування інфраструктури об'єднаних територіальних громад</t>
  </si>
  <si>
    <t>"Реконструкція мереж вуличного освітлення від КТП – 121  по вул. Каховська, Іліци, Волошкова, Шумілова  м.Новоукраїнка Кіровоградської області"</t>
  </si>
  <si>
    <t>"Реконструкція мереж вуличного освітлення від КТП – 76  по вул.Корольова, Кармелюка, Дачна, Кутузова в с.Новоолександрівка Новоукраїнського району Кіровоградської області"</t>
  </si>
  <si>
    <t>"Реконструкція вуличного освітлення від ТП – 7 Новоукраїнського КХП  по вул. Чайковського, Елеваторна, М.Вороного в м.Новоукраїнка Кіровоградської області"</t>
  </si>
  <si>
    <t>"Реконструкція мереж вуличного освітлення від КТП – 5  по вул. Левицького, Садова, Івана Богуна, Набережна, Жуковського в м.Новоукраїнка, Кіровоградської області"</t>
  </si>
  <si>
    <t>"Капітальний ремонт (відновлення) тротуару із плитки ФЕМ по вул. Гагаріна від вул. В.Демченка до вул.Покровської у м. Новоукраїнка Кіровоградської області"</t>
  </si>
  <si>
    <t>"Придбання спецобладнання (устаткування з обмеження водовідведення, прочистки і телеінспекції водопровідних і каналізаційних мереж та віброплити) для комунального підприємства "Новоукраїнське житлово-комунальне підприємство"</t>
  </si>
  <si>
    <t>0117363</t>
  </si>
  <si>
    <t>7363</t>
  </si>
  <si>
    <t>Виконання інвестиційних проектів в рамках здійснення заходів щодо соціально - економічного розвитку окремих територій</t>
  </si>
  <si>
    <t xml:space="preserve">Реконструкція очисних споруд  по вул. Мокряка  у м.Новоукраїнка, Кіровоградської обл., продуктивністю 200 м3/доб.(Коригування)  </t>
  </si>
  <si>
    <t>у тому числі за рахунок субвенції з державного бюджету місцевим бюджетам на здійснення заходів щодо соціально-економічного розвитку окремих територій</t>
  </si>
  <si>
    <r>
      <t xml:space="preserve">Відділ освіти </t>
    </r>
    <r>
      <rPr>
        <b/>
        <sz val="16"/>
        <color indexed="8"/>
        <rFont val="Times New Roman"/>
        <family val="1"/>
        <charset val="204"/>
      </rPr>
      <t>міської ради</t>
    </r>
  </si>
  <si>
    <t>0617321</t>
  </si>
  <si>
    <t>7321</t>
  </si>
  <si>
    <t>Будівництво освітніх установ та закладів</t>
  </si>
  <si>
    <t>2018-2019</t>
  </si>
  <si>
    <t>0617363</t>
  </si>
  <si>
    <t>Виконання інвестиційних проектів в рамках здійснення заходів щодо соціально-економічного розвитку окремих територій</t>
  </si>
  <si>
    <t>Будівництво блочно-модульної транспортабельної котельні у філії "Загальноосвітня школа №3" Новоукраїнської загальноосвітньої школи І-ІІІ ступенів №6 Новоукраїнської міської ради, за адресою: Кіровоградська область м. Новоукраїнка, вул.Миколи Вороного, 169"</t>
  </si>
  <si>
    <t xml:space="preserve">у тому числі за рахунок залишку коштів субвенції з державного бюджету місцевим бюджетам на здійснення заходів щодо соціально-економічного розвитку окремих територій, що утворився на кінець 2018 року </t>
  </si>
  <si>
    <t>Відділ культури і туризму міської ради</t>
  </si>
  <si>
    <t>1017324</t>
  </si>
  <si>
    <t>7324</t>
  </si>
  <si>
    <t>Будівництво установ та закладів культури</t>
  </si>
  <si>
    <t xml:space="preserve">Капітальний ремонт котельні та системи опалення Новоукраїнського комунального будинку культури  №1 за адресою: Кіровоградська область, Новоукраїнський район,  м. Новоукраїнка,  вул. Миколи .Вороного, 204 </t>
  </si>
  <si>
    <t>Фінансове управління</t>
  </si>
  <si>
    <t>І. ПОТОЧНІ ВИДАТКИ</t>
  </si>
  <si>
    <t>1. Загальний фонд</t>
  </si>
  <si>
    <t>Назва установи</t>
  </si>
  <si>
    <t>КПК</t>
  </si>
  <si>
    <t>Пропонується виділити (грн.)</t>
  </si>
  <si>
    <t>Дата та № листа, доповідної записки</t>
  </si>
  <si>
    <t>Примітка</t>
  </si>
  <si>
    <t>Виконком</t>
  </si>
  <si>
    <t>06.01.2021 б/н</t>
  </si>
  <si>
    <t>10.11.2020 б/н</t>
  </si>
  <si>
    <t>29.03.2020 б/н</t>
  </si>
  <si>
    <t>Перерозподіл бюджетних призначень в межах виділених річних асигнувань в сумі 31021 грн., перенесення фінансування з КПКВ 0113140 КЕКВ 2282, , а саме збільшення фінансування  на  надання матеріальної допомоги жителям громади на 2020 рік   КЕКВ 2730</t>
  </si>
  <si>
    <r>
      <t xml:space="preserve">Перерозподіл бюджетних призначень в межах виділених річних асигнувань в сумі 18000 грн., перенесення фінансування з КПКВ </t>
    </r>
    <r>
      <rPr>
        <sz val="12"/>
        <rFont val="Times New Roman"/>
        <family val="1"/>
        <charset val="204"/>
      </rPr>
      <t>0117461 КЕКВ 2240,</t>
    </r>
    <r>
      <rPr>
        <sz val="12"/>
        <color indexed="8"/>
        <rFont val="Times New Roman"/>
        <family val="1"/>
        <charset val="204"/>
      </rPr>
      <t xml:space="preserve"> а саме  на придбання принтерів для впровадження прогамного комплексу "Інтегрована інформаційна система "Соціальна громада" для працівників соціального захисту Новоукраїнської міської об'єднаної територіальної громади   для організації надання соціальних послуг із застосуванням електронного документообігу  (2 принтери по7800 грн. та 1 паринтер за 8300 грн.)   КЕКВ 3110</t>
    </r>
  </si>
  <si>
    <t>15.01.2020 б/н</t>
  </si>
  <si>
    <t>Додаткові кошти  в сумі 7307 грн. на виготовлення технічного паспорту на об'єкт нерухомого майна стадіону для підготовки об'єкта до реконструкції КЕКВ 2240</t>
  </si>
  <si>
    <t>0116020</t>
  </si>
  <si>
    <t>30.03.2020 б/н</t>
  </si>
  <si>
    <t>0116083</t>
  </si>
  <si>
    <t>Додаткові кошти в сумі 50000 грн. для оплати послуг дезинфекції об'єктів благоустрою та інфраструктури для запобігання і ліквідації надзвичайних ситуацій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2240</t>
  </si>
  <si>
    <t>Додаткові кошти  в сумі 30000  грн. на поховальні та супутні послуги  КЕКВ 2240</t>
  </si>
  <si>
    <t>Додаткові кошти в сумі 34573 грн. на відшкодування з виплати заробітної плати з нарахуванням водіям, які будуть задіяні при перевезенні працівників комунальної та критичної інфраструктури міста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2211 у сумі 28338 грн., КЕКВ 2120 = 6235грн.</t>
  </si>
  <si>
    <t>Додаткові кошти в сумі 30000 грн. на оплату послуг ЖКП по перевезенню працівників комунальної та критичної інфраструктури міста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2240.</t>
  </si>
  <si>
    <t>0119770</t>
  </si>
  <si>
    <t>12.08.2020 №543/01-29 та №218/01-20</t>
  </si>
  <si>
    <t>14.08.2020        №851</t>
  </si>
  <si>
    <t>Перерозподіл бюджетних призначень в межах виділених річних асигнувань  в сумі 9513 грн., перенесення фінансування  з КПКВ 0117362 КЕКВ 3142,  збільшення фінансування на субвенцію районному бюджету, а саме  на придбання 3-х вікон для Воронівського ФП, для безперебійної роботи закладів на запобігання  поширенню коронавірусної хвороби, відповідно до клопотання комунального некомерційного підприємства  "Центр первинної медико-санітарної допомоги"  Новоукраїнської районної ради КЕКВ 2620</t>
  </si>
  <si>
    <t>03.11.2020        №1168</t>
  </si>
  <si>
    <t>Cубвенція районному бюджету  в сумі 15086 грн. для оплати заробітної плати з нарахуваннями завідувачів та молодшого медичного персоналу фельдшерсько-акушерських пунктів відповідно до клопотання КНП "Центр первинної медико-санітарної допомоги"  Новоукраїнської районної ради  КЕКВ 2620, за рахунок перенесення фінансування  КПКВ 0117461 КЕКВ 2240</t>
  </si>
  <si>
    <t>Cубвенція районному бюджету в сумі 41500 грн., відповідно до клопотання комунального некомерційного підприємства  "Центр первинної медико-санітарної допомоги"  Новоукраїнської районної ради для оплати енергоносіїв та комунальних послуг КЕКВ 2620, за рахунок перенесення фінансування  КПКВ 0117461 КЕКВ 2240</t>
  </si>
  <si>
    <t>0119800</t>
  </si>
  <si>
    <t xml:space="preserve">Відділ освіти  </t>
  </si>
  <si>
    <t xml:space="preserve">0611010 </t>
  </si>
  <si>
    <t xml:space="preserve">23.11.2020        №771/01-29 </t>
  </si>
  <si>
    <t xml:space="preserve">0611020 </t>
  </si>
  <si>
    <t xml:space="preserve">Відділ освіти </t>
  </si>
  <si>
    <t xml:space="preserve">01.11.2019        №220/01-17 </t>
  </si>
  <si>
    <t>Перерозподіл бюджетних призначень в межах виділених річних асигнувань в сумі 13990 грн.,  перенесення фінансування  з  КЕКВ 2230 для придбання металевих дверей для Новоукраїнської загальноосвітньої школи І-ІІІ ступенів №4 КЕКВ (інклюзивно-ресурсний центр) 2210</t>
  </si>
  <si>
    <t>Перерозподіл бюджетних призначень в межах виділених річних асигнувань в сумі 9325 грн.,  перенесення фінансування  з КЕКВ 2230 для оплати послуг по встановленню енергозберігаючих вікон для Новоукраїнської загальноосвітньої школи І-ІІІ ступенів №4 (інклюзивно-ресурсний центр) КЕКВ 2240</t>
  </si>
  <si>
    <t>Перерозподіл бюджетних призначень в межах виділених річних асигнувань в сумі 26486 грн., зменшення фінансування по КЕКВ2240 та збільшення фінансування на оплату по вивозу сміття та нечистот  у Новоукраїнських загальноосвітніх  навчальних закладах громади КЕКВ 2275</t>
  </si>
  <si>
    <t xml:space="preserve">0611090 </t>
  </si>
  <si>
    <t xml:space="preserve">10.08.2020        №540/01-29 </t>
  </si>
  <si>
    <t xml:space="preserve">Перерозподіл бюджетних призначень в межах виділених річних асигнувань в сумі 5960 грн., перерозподіл видатків між головними розпорядниками коштів на головного розпорядника коштів відділ культури та туризму Новоукраїнської міської ради  на КПКВ 1014060  КЕКВ 2111 в сумі 47325 грн. та КЕКВ 2120 в сумі 10412 грн.,  а саме зменшення фінансування  на виплату заробітної плати  в сумі 47325 грн. КЕКВ 2111, нарахування на заробітну плату в сумі 10412 грн. КЕКВ 2120, у зв'язку з перенесенням двох посад з ЦДЮТ "Зоріт" до відділу культури та туризму , відповідно з внесеними змінами до структури даних закладів </t>
  </si>
  <si>
    <t>0611161</t>
  </si>
  <si>
    <t>Перерозподіл бюджетних призначень в межах виділених річних асигнувань в сумі 38895 грн., перерозподіл видатків  з КПКВ 0611150  КЕКВ 2111 в сумі 31803 грн., КЕКВ 2120 в сумі 7092 грн., а саме збільшення фінансування  на виплату заробітної плати  в сумі 31803 грн. КЕКВ 2111, нарахування на заробітну плату в сумі 7092 грн. КЕКВ 2120, у зв'язку з ліквідацією структурного підрозділу методичного кабінету та утворенням комунальної установи Новоукраїнський центр професійного розвитку педагогічних працівників Новоукраїнської міської ради</t>
  </si>
  <si>
    <t xml:space="preserve">30.10.2020        №712/01-29 </t>
  </si>
  <si>
    <t>Перерозподіл бюджетних призначень в межах виділених річних асигнувань в сумі 46550 грн., перенесення фінансування  з КПКВ 0617321 КЕКВ 3132, а саме збільшення фінансування для придбання новорічних подарунків дітям пільгових категорій (665 дітей по 70 грн. на одну дитину)  КЕКВ 2210</t>
  </si>
  <si>
    <t>0611162</t>
  </si>
  <si>
    <t>Перерозподіл бюджетних призначень в межах виділених річних асигнувань в сумі 50548 грн., перенесення фінансування  на КПКВ 0611010 КЕКВ 2240 в сумі 19418 грн., КПКВ 0611020 КЕКВ 2240 в сумі 8670 грн., КЕКВ 3110 в сумі 16500 грн., КПКВ 0611090 КЕКВ 2210 в сумі 5960 грн., а саме зменшення фінансування для оплати послуг КЕКВ 2240</t>
  </si>
  <si>
    <t xml:space="preserve">Управління соцзахисту та охорони здоров'я  </t>
  </si>
  <si>
    <t>0810160</t>
  </si>
  <si>
    <t>0812010</t>
  </si>
  <si>
    <t>0812111</t>
  </si>
  <si>
    <t>Відділ культури</t>
  </si>
  <si>
    <t>1011100</t>
  </si>
  <si>
    <t xml:space="preserve"> Перерозподіл бюджетних призначень в межах виділених річних асигнувань в сумі  14643 грн., перенесення фінансування   з КПКВ 1014060  КЕКВ 2111 в сумі 11527 грн. та КЕКВ 2120 в сумі 3116 грн. , а саме збільшення фінансування на виплату заробітної плати  в сумі 11527 грн. КЕКВ 2111, нарахування на заробітну плату в сумі 3116 грн. КЕКВ 2120, у зв'язку з збільшенням заробітної плати директора краєзнавчого музею </t>
  </si>
  <si>
    <t>Всього</t>
  </si>
  <si>
    <t>ІІ. КАПІТАЛЬНІ ВИДАТКИ</t>
  </si>
  <si>
    <r>
      <t xml:space="preserve">Перерозподіл бюджетних призначень в межах виділених річних асигнувань в сумі 28300 грн., перенесення фінансування  з </t>
    </r>
    <r>
      <rPr>
        <sz val="12"/>
        <rFont val="Times New Roman"/>
        <family val="1"/>
        <charset val="204"/>
      </rPr>
      <t xml:space="preserve">КПКВ 0117461 КЕКВ 3110, </t>
    </r>
    <r>
      <rPr>
        <sz val="12"/>
        <color indexed="8"/>
        <rFont val="Times New Roman"/>
        <family val="1"/>
        <charset val="204"/>
      </rPr>
      <t>збільшення фінансування    для придбання комп'ютеної техніки для працівників апарату виконавчого комітету  Новоукраїнської міської ради (1 ноутбук - 20000 грн. та принтер - 8300 грн.) КЕКВ 3110</t>
    </r>
  </si>
  <si>
    <t xml:space="preserve"> Перерозподіл бюджетних призначень в межах виділених річних асигнувань  в сумі  32000 грн., перенесення фінансування з КЕКВ 2240, а саме збільшення фінансування на реалізацію міні-проекту "Облаштування зони відпочинку біля ставка в с.Марянопіль" переможця конкурсу міні-проектів Новоукраїнської міської об'єднаної територіальної громади "Влада і громада - разом!" -  на придання альтанок  2 шт по 16000=32000 КЕКВ 3110 (загальна вартість міні- проекту 45885 грн., з них кошти бюджету - 37975 грн.)</t>
  </si>
  <si>
    <t>04.09.2020  №587-р</t>
  </si>
  <si>
    <t>Субвенція з обласного бюджету  в сумі 1707170 грн. для забезпечення житлом дітей-сиріт, осіб з їх числа за рахунок відповідної субвенції з державного бюджету, відповідно до розпорядження голови ОДА від 04 вересня 2020 року №587- р КЕКВ 3220</t>
  </si>
  <si>
    <t>Додаткові кошти в сумі 500000 грн. на співфінансування  проектів, що виконуються за рахунок коштів державного бюджету на формування інфраструктури об'єднаних територіальних громад  КЕКВ 3142</t>
  </si>
  <si>
    <t>Перерозподіл бюджетних призначень в межах виділених річних асигнувань  в сумі 175200 грн., перенесення фінансування  на КПКВ 0110150 КЕКВ 3110 в сумі 28300 грн., КПКВ 0113242 КЕКВ 3110 в сумі 66900 грн., КПКВ 0116014 КЕКВ 2240 в сумі 40000 грн. та КЕКВ 2275 в сумі 30000 грн., КПКВ 1014082 КЕКВ 2240 в сумі 10000 грн., а саме а саме зменшення фінансування з  реалізаціі проекту "З МІЖМУНІЦИПАЛЬНОГО СПІВРОБІТНИЦТВА ГРОМАД", для придбання спецтехніки (ремонтера і тягача) для ремонту доріг,  що буде виконуватись за кошти  бюджету   Новоукраїнської  міської об'єднаної територіальної громади, кошти  Програми МТД DOBRE та інші не заборонені законодавством кошти КЕКВ 3110</t>
  </si>
  <si>
    <t xml:space="preserve">0617321 </t>
  </si>
  <si>
    <t>Перерозподіл бюджетних призначень в межах виділених річних асигнувань в сумі 98154 грн., перенесення фінансування на КПКВ 0611110 КЕКВ 3110 в сумі 34505 грн., КПКВ 0611120 КЕКВ 3110 в сумі 15289 грн., КПКВ 0611161 КЕКВ 2210 в сумі 46550 грн., КПКВ 0611162 КЕКВ 2730 в сумі 1810 грн., а саме зменшення фінансування  на реалізацію проекту "Капітальний ремонт котельні з заміною котлів в Новоукраїнському комунальному дошкільному навчальному закладі № 1 "Ромашка" за адресою: Кіровоградська область, м.Новоукраїнка, вул.Покровська, 79/18" КЕКВ 3132, у зв'язку з економією коштів</t>
  </si>
  <si>
    <t>09.08.2019        №232/01-20</t>
  </si>
  <si>
    <t xml:space="preserve">Перерозподіл бюджетних призначень в межах виділених річних асигнувань в сумі 27100 грн., а саме перенесення фінансування, а саме  зменшення фінансування на  нарахування на заробітну плату в сумі 7600 грн. КЕКВ 2120 </t>
  </si>
  <si>
    <t>29.09.2020        №266/01-20</t>
  </si>
  <si>
    <t>Перерозподіл бюджетних призначень в межах виділених річних асигнувань в сумі 47000 грн.,  перерозподіл видатків між головними розпорядниками коштів з головного розпорядника коштів виконавчого комітету Новоукраїнської міської ради з КПКВ 7330 КЕКВ 3132, а саме збільшення фінансування на придбання книг для поповнення бібліотечного фонду  в сумі 15000 грн. та передплата періодичних видань на 2021 рік по бібліотечних закладах громади  в сумі 32000 грн. КЕКВ 3110</t>
  </si>
  <si>
    <t>Перерозподіл бюджетних призначень в межах виділених річних асигнувань в сумі 15000 грн.,  перерозподіл видатків між головними розпорядниками коштів з головного розпорядника коштів виконавчого комітету Новоукраїнської міської ради з КПКВ 7330 КЕКВ 3132, збільшення фінансування на придбання двох ноутбуків для здійснення звукового супроводу заходів в клубних закладах громади  КЕКВ 3110</t>
  </si>
  <si>
    <t>03.06.2020        №233/01-20</t>
  </si>
  <si>
    <t xml:space="preserve"> Перерозподіл бюджетних призначень в межах виділених річних асигнувань в сумі  9000 грн., перенесення фінансування з КПКВ 0114060 КЕКВ 2210, а саме збільшення фінансування  на придбання комп'ютерної техніки уповноваженій особі із публічних закупівель відділу культури та туризму КЕКВ 3110  </t>
  </si>
  <si>
    <t>РАЗОМ</t>
  </si>
  <si>
    <t xml:space="preserve">          Секретар міської ради                                                                                                                                             Л. Вишневецька        </t>
  </si>
  <si>
    <t xml:space="preserve">від 26 січня  2020 року №100               </t>
  </si>
  <si>
    <t xml:space="preserve">Бюджет Ганівської сільської територіальної громади </t>
  </si>
  <si>
    <t>19.01.2021 б/н</t>
  </si>
  <si>
    <t>18.01.2021 б/н</t>
  </si>
  <si>
    <t>1. Виділені кошти за рахунок  залишку коштів та перерозподілу  бюджету Новоукраїнської  міської територіальної громади на 2021 рік:</t>
  </si>
  <si>
    <t>Перерозподіл бюджетних призначень в межах виділених річних асигнувань в сумі 109800 грн., перенесення фінансування на   КПКВ 0113121  КЕКВ 2111 в сумі 90000 грн. та КЕКВ 2120 в сумі 19800 грн.,  збільшення фінансування на виплату заробітної плати в зв'язку з підвищенням посадового окладу (тарифного розряду) з 1 січня 2020 року  в сумі  90000 грн., КЕКВ 2111 та  нарахування на заробітну плату в сумі 19800 грн. КЕКВ 2120 з інших робіт у сфорі житлово - комунального господарства</t>
  </si>
  <si>
    <t xml:space="preserve"> "Капітальний ремонт тротуару по вул. Соборній (від пров. Лікарняного до буд. № 137 по вул. Соборній) в м. Новоукраїнка, Кіровоградської області"</t>
  </si>
  <si>
    <t>Забезпечення функціонування підприємств, установ та організацій, що виробляють, виконують та/або надають житлово-комунальні послуги</t>
  </si>
  <si>
    <t>6020</t>
  </si>
  <si>
    <t>0800000</t>
  </si>
  <si>
    <t>Управління соціального захисту та охорони здоров'я  Новоукраїнської міської ради</t>
  </si>
  <si>
    <t>0810000</t>
  </si>
  <si>
    <t>11506000000</t>
  </si>
  <si>
    <t>11513000000</t>
  </si>
  <si>
    <t>Програма розвитку, підтримки комунальних закладів охорони здоров’я та надання медичних послуг жителям Новоукраїнської міської територіальної громади понад обсяг, передбачений програмою державних гарантій медичного обслуговування населення, на 2021-2023 роки</t>
  </si>
  <si>
    <r>
      <t xml:space="preserve">Додаткові кошти в сумі 190000 грн. </t>
    </r>
    <r>
      <rPr>
        <b/>
        <sz val="12"/>
        <rFont val="Times New Roman"/>
        <family val="1"/>
        <charset val="204"/>
      </rPr>
      <t>на завершення робіт з виконання  генерального плану міста</t>
    </r>
    <r>
      <rPr>
        <sz val="12"/>
        <rFont val="Times New Roman"/>
        <family val="1"/>
        <charset val="204"/>
      </rPr>
      <t xml:space="preserve"> КЕКВ 2281, за рахунок вільного залишку коштів станом на 01 січня 2021 року</t>
    </r>
  </si>
  <si>
    <t>Бюджет Новоукраїнського району</t>
  </si>
  <si>
    <t>Реконструкція території парку з поліпшеною інфраструктурою для бізнесу та громадян в м. Новоукраїнка "Сквер на Соборній", що буде виконуватись за кошти  бюджету розвитку  Новоукраїнської  міської об'єднаної територіальної громади, кошти  Програми МТД DOBRE та інші не заборонені законодавством кошти</t>
  </si>
  <si>
    <t>2020-2023</t>
  </si>
  <si>
    <t>88,3</t>
  </si>
  <si>
    <r>
      <t xml:space="preserve">Додаткові кошти в сумі 45000 грн. </t>
    </r>
    <r>
      <rPr>
        <b/>
        <sz val="12"/>
        <color indexed="8"/>
        <rFont val="Times New Roman"/>
        <family val="1"/>
        <charset val="204"/>
      </rPr>
      <t>на оплату послуг по виготовленню технічної документації (технічні паспорти) на комунальне майно</t>
    </r>
    <r>
      <rPr>
        <sz val="12"/>
        <color indexed="8"/>
        <rFont val="Times New Roman"/>
        <family val="1"/>
        <charset val="204"/>
      </rPr>
      <t>, за рахунок вільного залишку коштів станом на 01.01.2021 року КЕКВ 2240</t>
    </r>
  </si>
  <si>
    <r>
      <t xml:space="preserve">Додаткові кошти в сумі 49000 грн. </t>
    </r>
    <r>
      <rPr>
        <b/>
        <sz val="12"/>
        <color indexed="8"/>
        <rFont val="Times New Roman"/>
        <family val="1"/>
        <charset val="204"/>
      </rPr>
      <t>на оплату послуг по благоустрою території біля пам'ятників на території громади</t>
    </r>
    <r>
      <rPr>
        <sz val="12"/>
        <color indexed="8"/>
        <rFont val="Times New Roman"/>
        <family val="1"/>
        <charset val="204"/>
      </rPr>
      <t>, за рахунок вільного залишку коштів станом на 01.01.2021 року КЕКВ 2240</t>
    </r>
  </si>
  <si>
    <r>
      <t xml:space="preserve">Додаткові кошти в сумі 145000 грн.  </t>
    </r>
    <r>
      <rPr>
        <b/>
        <sz val="12"/>
        <color indexed="8"/>
        <rFont val="Times New Roman"/>
        <family val="1"/>
        <charset val="204"/>
      </rPr>
      <t xml:space="preserve">на придбання виробів медичного призначення, дезінфікуючих засобів  КНП "Новоукраїнська  міська лікарня" </t>
    </r>
    <r>
      <rPr>
        <sz val="12"/>
        <color indexed="8"/>
        <rFont val="Times New Roman"/>
        <family val="1"/>
        <charset val="204"/>
      </rPr>
      <t>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</si>
  <si>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100000 грн. </t>
    </r>
    <r>
      <rPr>
        <b/>
        <sz val="12"/>
        <color indexed="8"/>
        <rFont val="Times New Roman"/>
        <family val="1"/>
        <charset val="204"/>
      </rPr>
      <t>на проведення ремонтних робіт, протипожежних заходів тощо КНП "Новоукраїнська  міська лікарня"</t>
    </r>
    <r>
      <rPr>
        <sz val="12"/>
        <color indexed="8"/>
        <rFont val="Times New Roman"/>
        <family val="1"/>
        <charset val="204"/>
      </rPr>
      <t xml:space="preserve"> 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</si>
  <si>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 грн. </t>
    </r>
    <r>
      <rPr>
        <b/>
        <sz val="12"/>
        <color indexed="8"/>
        <rFont val="Times New Roman"/>
        <family val="1"/>
        <charset val="204"/>
      </rPr>
      <t xml:space="preserve">на забезпечення інвалідів і дітей інвалідів технічними та іншими засобами (придбання памперсів)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</si>
  <si>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20000 грн. </t>
    </r>
    <r>
      <rPr>
        <b/>
        <sz val="12"/>
        <color indexed="8"/>
        <rFont val="Times New Roman"/>
        <family val="1"/>
        <charset val="204"/>
      </rPr>
      <t>на поліпшення матеріально-технічної бази та оснащення в сумі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</si>
  <si>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4000 грн.  на </t>
    </r>
    <r>
      <rPr>
        <b/>
        <sz val="12"/>
        <color indexed="8"/>
        <rFont val="Times New Roman"/>
        <family val="1"/>
        <charset val="204"/>
      </rPr>
      <t>забезпечення безкоштовним дитячим харчуванням дітей грудного віку та другого року життя, які входять до малозабезпечених сімей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</si>
  <si>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 грн. </t>
    </r>
    <r>
      <rPr>
        <b/>
        <sz val="12"/>
        <color indexed="8"/>
        <rFont val="Times New Roman"/>
        <family val="1"/>
        <charset val="204"/>
      </rPr>
      <t>на проведення  протипожежних заходів та інше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</si>
  <si>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t>Програма  реформування  і  розвитку житлово- комунального господарства  Новоукраїнської міської об’єднаної територіальної громади на 2020-2025 роки</t>
  </si>
  <si>
    <t>бюджету Новоукраїнської міської територіальної громади на 2021 рік</t>
  </si>
  <si>
    <t xml:space="preserve">Секретар міської ради </t>
  </si>
  <si>
    <t>Л. Вишневецька</t>
  </si>
  <si>
    <t>Секретар міської ради</t>
  </si>
  <si>
    <t>Рішення міської ради № 91  від 26.01.2021 року</t>
  </si>
  <si>
    <t>в т.ч.</t>
  </si>
  <si>
    <t xml:space="preserve">в т.ч. </t>
  </si>
  <si>
    <t>на оплату комунальних послуг та енергоносіїв</t>
  </si>
  <si>
    <t>на придбання виробів медичного призначення, дезінфікуючих засобів</t>
  </si>
  <si>
    <t xml:space="preserve">на оплата праці  з нарахуваннями завідувачів та молодшого медичного персоналу ФАПів, що обслуговують сільське населення </t>
  </si>
  <si>
    <t>з них за рахунок залишків коштів  субвенцій з місцевого бюджету</t>
  </si>
  <si>
    <t>_____________________________________________________________</t>
  </si>
  <si>
    <r>
      <t xml:space="preserve">Додаткові кошти в сумі 1259179 грн., збільшення фінансування на </t>
    </r>
    <r>
      <rPr>
        <b/>
        <sz val="12"/>
        <color indexed="8"/>
        <rFont val="Times New Roman"/>
        <family val="1"/>
        <charset val="204"/>
      </rPr>
      <t>проведення остаточних розрахунків з придбання комп'ютерного томографа  за рахунок субвенції з спеціального фонду бюджету Новоукраїнського району  для КНП "Новоукраїнська  міська лікарня"</t>
    </r>
    <r>
      <rPr>
        <sz val="12"/>
        <color indexed="8"/>
        <rFont val="Times New Roman"/>
        <family val="1"/>
        <charset val="204"/>
      </rPr>
      <t xml:space="preserve"> Ново 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КЕКВ 3210</t>
    </r>
  </si>
  <si>
    <t>на забезпечення безкоштовним дитячим харчуванням дітей грудного віку та другого року життя, які входять до малозабезпечених сімей</t>
  </si>
  <si>
    <t>на оплату протипожежних заходів</t>
  </si>
  <si>
    <t>на придбання медикаментів (наркотичних та психотропних засобів)</t>
  </si>
  <si>
    <t>на придбання медикаментів (туберкуліну та вакцини проти грипу)</t>
  </si>
  <si>
    <t>на придбання медикаментів (забезпечення безкоштовним пільговим відпуском медикаментів)</t>
  </si>
  <si>
    <t>а забезпечення інвалідів і дітей інвалідів технічними та іншими засобами (придбання памперсів)</t>
  </si>
  <si>
    <t>на поліпшення матеріально-технічної бази та оснащення</t>
  </si>
  <si>
    <t>на проведення ремонтних робіт, протипожежних заходів</t>
  </si>
  <si>
    <t>на інші поточні видатки</t>
  </si>
  <si>
    <t>утримання дитячо-юнацької спортивної школи відповідно до договору про співробітництво</t>
  </si>
  <si>
    <t>на утримання трудового архіву відповідно до договору про співробітництво</t>
  </si>
  <si>
    <t>Новоукраїнська міська рада</t>
  </si>
  <si>
    <t>0813192</t>
  </si>
  <si>
    <r>
      <t xml:space="preserve">Додаткові кошти в сумі 200000 грн. </t>
    </r>
    <r>
      <rPr>
        <b/>
        <sz val="12"/>
        <color indexed="8"/>
        <rFont val="Times New Roman"/>
        <family val="1"/>
        <charset val="204"/>
      </rPr>
      <t>на забезпечення інвалідів і дітей інвалідів технічними та іншими засобами (придбання памперсів)</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</si>
  <si>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t>0812144</t>
  </si>
  <si>
    <t>08.02.2021 б/н</t>
  </si>
  <si>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0112144 КЕКВ 2730,   а саме збільшення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(на інсулін) 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</si>
  <si>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t>0813104</t>
  </si>
  <si>
    <t>0813121</t>
  </si>
  <si>
    <t>0813032</t>
  </si>
  <si>
    <t>0813140</t>
  </si>
  <si>
    <t>0813160</t>
  </si>
  <si>
    <t>0813191</t>
  </si>
  <si>
    <t>0813210</t>
  </si>
  <si>
    <t>0813242</t>
  </si>
  <si>
    <t>11.02.2021        №15/01-69</t>
  </si>
  <si>
    <t>Програма "Розвиток та удосконалення цивільного захисту населення Новоукраїнської міської об’єднаної  територіальної громади громади" на 2018-2022 роки"</t>
  </si>
  <si>
    <t>11.02.2021        №323/113-2021</t>
  </si>
  <si>
    <t>0813133</t>
  </si>
  <si>
    <t>9800</t>
  </si>
  <si>
    <t>Співфінансування інвестиційних проектів, які передбачається фінансувати у 2021 році в рамках здійснення заходів щодо соціально-економічного розвитку окремих територій</t>
  </si>
  <si>
    <t>виготовлення проектної документації</t>
  </si>
  <si>
    <t>Інші розрахунки</t>
  </si>
  <si>
    <t>Субвенція з місцевого бюджету державному бюджету на виконання програм соціально-економічного розвитку регіоні</t>
  </si>
  <si>
    <t xml:space="preserve">1. Затвердити розпорядження міського голови, видані у міжсесійний період, а саме:                                                                                                                                                                                                                                                                                                                                                                                                                                                                                                     від 03 лютого  2021 року № 17 "Про  внесення  змін до кошторису спеціального фонду на 2021 рік"
від 09 лютого  2021 року № 23 "Про  внесення  змін до кошторису спеціального фонду на 2021 рік"
</t>
  </si>
  <si>
    <t>рішення 125 від 04.02.2021 року</t>
  </si>
  <si>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0812144 КЕКВ 2730,   а саме зменшення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r>
    <r>
      <rPr>
        <b/>
        <sz val="12"/>
        <color indexed="8"/>
        <rFont val="Times New Roman"/>
        <family val="1"/>
        <charset val="204"/>
      </rPr>
      <t>(на інсулін)</t>
    </r>
    <r>
      <rPr>
        <sz val="12"/>
        <color indexed="8"/>
        <rFont val="Times New Roman"/>
        <family val="1"/>
        <charset val="204"/>
      </rPr>
      <t xml:space="preserve"> 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</si>
  <si>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0112144 КЕКВ 2730,   а саме збільшення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r>
    <r>
      <rPr>
        <b/>
        <sz val="12"/>
        <color indexed="8"/>
        <rFont val="Times New Roman"/>
        <family val="1"/>
        <charset val="204"/>
      </rPr>
      <t xml:space="preserve"> (на інсулін) </t>
    </r>
    <r>
      <rPr>
        <sz val="12"/>
        <color indexed="8"/>
        <rFont val="Times New Roman"/>
        <family val="1"/>
        <charset val="204"/>
      </rPr>
      <t xml:space="preserve">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</si>
  <si>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0813032 КЕКВ 2730,   а саме зменшення фінансування </t>
    </r>
    <r>
      <rPr>
        <b/>
        <sz val="12"/>
        <color indexed="8"/>
        <rFont val="Times New Roman"/>
        <family val="1"/>
        <charset val="204"/>
      </rPr>
      <t xml:space="preserve">на надання пільг окремим категоріям громадян з оплати послуг зв'язку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</si>
  <si>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0113032 КЕКВ 2730,   а саме збільшення фінансування </t>
    </r>
    <r>
      <rPr>
        <b/>
        <sz val="12"/>
        <color indexed="8"/>
        <rFont val="Times New Roman"/>
        <family val="1"/>
        <charset val="204"/>
      </rPr>
      <t xml:space="preserve">на надання пільг окремим категоріям громадян з оплати послуг зв'язку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</si>
  <si>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0813140 КЕКВ 2282,   а саме зменшення фінансування </t>
    </r>
    <r>
      <rPr>
        <b/>
        <sz val="12"/>
        <color indexed="8"/>
        <rFont val="Times New Roman"/>
        <family val="1"/>
        <charset val="204"/>
      </rPr>
      <t>на придбання путівок на оздоровлення</t>
    </r>
    <r>
      <rPr>
        <sz val="12"/>
        <color indexed="8"/>
        <rFont val="Times New Roman"/>
        <family val="1"/>
        <charset val="204"/>
      </rPr>
      <t xml:space="preserve"> КЕКВ 2282, у зв'язку із створенням  управління соціального захисту та охорони здоров'я, окремої юридичної особи та головного розпорядника даних коштів</t>
    </r>
  </si>
  <si>
    <t>3719800</t>
  </si>
  <si>
    <t>3719770</t>
  </si>
  <si>
    <r>
      <t xml:space="preserve">Додаткові кошти в сумі 245669,15 грн. </t>
    </r>
    <r>
      <rPr>
        <b/>
        <sz val="12"/>
        <color indexed="8"/>
        <rFont val="Times New Roman"/>
        <family val="1"/>
        <charset val="204"/>
      </rPr>
      <t>на оплату комунальних послуг та енергоносіїв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перерахованого з бюджету Новоукраїнського району за рахунок залишку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 КЕКВ 2610</t>
    </r>
  </si>
  <si>
    <t>9770</t>
  </si>
  <si>
    <t>602304</t>
  </si>
  <si>
    <t xml:space="preserve">Бюджет Помічнянської міської територіальної громади </t>
  </si>
  <si>
    <t>Бюджет Соколівської сільської територіальної громади</t>
  </si>
  <si>
    <t>Додаткові кошти  в сумі 6700 грн., за рахунок субвенції з бюджету  Соколівської сільської територіальної громади , документи яких знаходяться на зберігані в трудовому архіві, як співфінансування на утримання трудового архіву, а саме на виплату заробітної плати  в сумі 3780 грн. КЕКВ 2111, нарахування на заробітну плату в сумі 832 грн. КЕКВ 2120, на придбання матеріалів та канцтоварів в сумі 620 грн. КЕКВ 2210, для оплати за відшкодування вугілля використаного на опалення приміщення в сумі 504 грн. КЕКВ 2275,  для оплати електроенергії в сумі 58 грн. КЕКВ 2273, для оплати послуг в сумі 906 грн. КЕКВ 2240</t>
  </si>
  <si>
    <r>
      <t xml:space="preserve">Субвенція з місцевого бюджету державному бюджету на виконання програм соціально-економічного розвитку регіоні  в сумі 100000 грн., </t>
    </r>
    <r>
      <rPr>
        <b/>
        <sz val="12"/>
        <rFont val="Times New Roman"/>
        <family val="1"/>
        <charset val="204"/>
      </rPr>
      <t>для капітального ремонту покрівлі адміністративної будівлі, відповідно до клопотання  19 державної пожежно-рятувальної частини  УДСНС України у Кіровоградській області</t>
    </r>
    <r>
      <rPr>
        <sz val="12"/>
        <rFont val="Times New Roman"/>
        <family val="1"/>
        <charset val="204"/>
      </rPr>
      <t xml:space="preserve"> на фінансову підтримку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2021-2023 роки, за рахунок вільного залишку коштів станом  на 01 січня 2021 року КЕКВ 3220</t>
    </r>
  </si>
  <si>
    <r>
      <t>Додаткові кошти в сумі 500 грн.</t>
    </r>
    <r>
      <rPr>
        <b/>
        <sz val="12"/>
        <color indexed="8"/>
        <rFont val="Times New Roman"/>
        <family val="1"/>
        <charset val="204"/>
      </rPr>
      <t xml:space="preserve"> на придбання медикаментів (наркотичних та психотропних засобів)</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</si>
  <si>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1000 грн. </t>
    </r>
    <r>
      <rPr>
        <b/>
        <sz val="12"/>
        <color indexed="8"/>
        <rFont val="Times New Roman"/>
        <family val="1"/>
        <charset val="204"/>
      </rPr>
      <t>на придбання медикаментів (туберкуліну та вакцини проти грипу)</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</si>
  <si>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9600 грн.  </t>
    </r>
    <r>
      <rPr>
        <b/>
        <sz val="12"/>
        <color indexed="8"/>
        <rFont val="Times New Roman"/>
        <family val="1"/>
        <charset val="204"/>
      </rPr>
      <t>на придбання медикаментів (забезпечення безкоштовним пільговим відпуском медикаментів)</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</si>
  <si>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1500 грн.   </t>
    </r>
    <r>
      <rPr>
        <b/>
        <sz val="12"/>
        <color indexed="8"/>
        <rFont val="Times New Roman"/>
        <family val="1"/>
        <charset val="204"/>
      </rPr>
      <t>на поліпшення матеріально-технічної бази та оснащення</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</si>
  <si>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 xml:space="preserve">на оплату праці  з нарахуваннями завідувачів та молодшого медичного персоналу ФАПів, що обслуговують сільське населення </t>
  </si>
  <si>
    <r>
      <t xml:space="preserve">Додаткові кошти в сумі 158750 грн.   </t>
    </r>
    <r>
      <rPr>
        <b/>
        <sz val="12"/>
        <color indexed="8"/>
        <rFont val="Times New Roman"/>
        <family val="1"/>
        <charset val="204"/>
      </rPr>
      <t xml:space="preserve">на оплату праці  з нарахуваннями завідувачів та молодшого медичного персоналу ФАПів, що обслуговують сільське населення,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</si>
  <si>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рішення 381 від 16.02.2021 року</t>
  </si>
  <si>
    <r>
      <t xml:space="preserve">Додаткові кошти в сумі 9600 грн. </t>
    </r>
    <r>
      <rPr>
        <b/>
        <sz val="12"/>
        <color indexed="8"/>
        <rFont val="Times New Roman"/>
        <family val="1"/>
        <charset val="204"/>
      </rPr>
      <t xml:space="preserve">на забезпечення інвалідів і дітей інвалідів технічними та іншими засобами (придбання памперсів),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</si>
  <si>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Субвенція обласному бюджету Кіровоградської області   на придбання шкільного автобуса  для перевезення до Новоукраїнської загальноосвітньої школи І-ІІІ ступенів №4 на умовах співфінансування в розмірі 30%</t>
  </si>
  <si>
    <t xml:space="preserve">Субвенція з місцевого бюджету державному бюджету на виконання програм соціально-економічного розвитку регіоні на фінансову підтримку для капітального ремонту покрівлі адміністративної будівлі  19 державної пожежно-рятувальної частини  УДСНС України у Кіровоградській області </t>
  </si>
  <si>
    <t>Субвенція з місцевого бюджету державному бюджету на виконання програм соціально-економічного розвитку регіоні  на фінансову підтримку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на придбання обладнання для розширення інтегрованої інформаційно – комунікаційної автоматизованої системи відеоспостереження та відеоаналітики на території м. Новоукраїнка</t>
  </si>
  <si>
    <t>Субвенція з місцевого бюджету державному бюджету на виконання програм соціально-економічного розвитку регіоні  в сумі 100000 грн. на фінансову підтримку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на придбання обладнання для розширення інтегрованої інформаційно – комунікаційної автоматизованої системи відеоспостереження та відеоаналітики на території м. Новоукраїнка, на виконання у 2021 році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2018-2025 роки, як установі, що фінансується з державного бюджету, за рахунок вільного залишку коштів станом  на 01 січня 2021 року КЕКВ 3220</t>
  </si>
  <si>
    <r>
      <t>Додаткові кошти в сумі 271509 грн.</t>
    </r>
    <r>
      <rPr>
        <b/>
        <sz val="12"/>
        <color indexed="8"/>
        <rFont val="Times New Roman"/>
        <family val="1"/>
        <charset val="204"/>
      </rPr>
      <t xml:space="preserve"> на оплату праці з нарахуванням завідувачів та молодшого медичного персоналу ФАПів, що обслуговують сільське населення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</si>
  <si>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t>02.03.2021        №430</t>
  </si>
  <si>
    <t xml:space="preserve">Додаткові кошти  в сумі 48000 грн. для поточного ремонту  вбиральні філії №1 МПК "Ювілейний" КЕКВ 2240, за рахунок вільного залишку коштів станом на 01.01.2021 року </t>
  </si>
  <si>
    <t xml:space="preserve">0611021 </t>
  </si>
  <si>
    <t xml:space="preserve">09.03.2021        №01-14/135 </t>
  </si>
  <si>
    <t>КНП "Новоукраїнська центральна районна лікарня" Новоукраїнської районної ради</t>
  </si>
  <si>
    <t xml:space="preserve">на проведення остаточних розрахунків з придбання комп'ютерного томографа  </t>
  </si>
  <si>
    <t>КНП "Центр первинної медико-санітарної допомоги" Новоукраїнської міської ради</t>
  </si>
  <si>
    <r>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відділу освіти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0613140 КЕКВ 2282,   а саме збільшення фінансування </t>
    </r>
    <r>
      <rPr>
        <b/>
        <sz val="12"/>
        <color indexed="8"/>
        <rFont val="Times New Roman"/>
        <family val="1"/>
        <charset val="204"/>
      </rPr>
      <t xml:space="preserve">на відшкодування коштів за придбання путівок на оздоровлення батькам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</si>
  <si>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t>2019-2021</t>
  </si>
  <si>
    <t>Додаткові  кошти  для забезпечення призову на строкову військову службу громадян об'єднаної територіальної громади  в 2021 році на загальну  суму 20000 грн., за рахунок субвенції з загального фонду бюджету Новоукраїнського району   (доставка призовників від районного військового комісаріату для контрольного медичного обстеження на збірний пункт обласного військового комісаріату)  відповідно до клопотання Новоукраїнського районного військового комісаріату та затвердженої міської  програми  "Призовник" на  2021-2023 роки. КЕКВ 2240</t>
  </si>
  <si>
    <t xml:space="preserve">0611070 </t>
  </si>
  <si>
    <t>на  придбання глюкометра</t>
  </si>
  <si>
    <t>для отримання експертних висновків щодо доступності приміщень в яких здійснюється лікарська діяльність для інвалідів та маломобільних груп населення</t>
  </si>
  <si>
    <t>для забезпечення призову на строкову військову службу громадян об'єднаної територіальної громади  в 2021 році</t>
  </si>
  <si>
    <t xml:space="preserve">07.04.2021        №01-14/242 </t>
  </si>
  <si>
    <t>Додаткові кошти  у сумі 76 416,22 грн.,  за рахунок залишку коштів субвенції з державного бюджету місцевим бюджетам на надання державної підтримки особам з особливими освітніми потребами станом на 01.01.2021 року,  а саме  на виплату заробітної плати  в сумі  62 636,25 грн. КЕКВ 2111 та нарахування на заробітну плату в сумі 13 779,97 грн. КЕКВ 2120, згідно Бюджетного кодексу України та Постанови Кабінету Міністрів України від 14 лютого 2017 року № 88 "Про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 (із змінами)</t>
  </si>
  <si>
    <t>07.04.2021 б/н</t>
  </si>
  <si>
    <t>08.04.2021 №82/04-53</t>
  </si>
  <si>
    <r>
      <t xml:space="preserve"> Перерозподіл бюджетних призначень в межах виділених річних асигнувань в сумі 1312584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перенесення фінансування   на КПКВ 0813104  КЕКВ 2111 в сумі 991109 грн. та КЕКВ 2120 в сумі 223044 грн., КЕКВ 2210 в сумі 65000 грн., КЕКВ 2240 в сумі 23690 грн., КЕКВ 2250 в сумі 400 грн.,  КЕКВ 2272 в сумі 1231 грн., КЕКВ 2273 в сумі 8100 грн., КЕКВ 2800 в сумі 10 грн.,   а саме зменшення фінансування на виплату заробітної плати  в сумі 991109 грн. КЕКВ 2111, нарахування на заробітну плату в сумі 223044 грн. КЕКВ 2120, придбання МШП КЕКВ 2210 в сумі 65000 грн., оплата послуг, крім комунальних КЕКВ 2240 в сумі 23690 грн., відрядження КЕКВ 2250 в сумі 400 грн., КЕКВ 2272 в сумі 1231 грн., КЕКВ 2273 в сумі 8100 грн., КЕКВ 2800 в сумі 10 грн., на утримання </t>
    </r>
    <r>
      <rPr>
        <b/>
        <sz val="12"/>
        <rFont val="Times New Roman"/>
        <family val="1"/>
        <charset val="204"/>
      </rPr>
      <t xml:space="preserve">центру  надання соціальних послуг </t>
    </r>
    <r>
      <rPr>
        <sz val="12"/>
        <rFont val="Times New Roman"/>
        <family val="1"/>
        <charset val="204"/>
      </rPr>
      <t xml:space="preserve">Новоукраїнської міської ради, у </t>
    </r>
    <r>
      <rPr>
        <b/>
        <sz val="12"/>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</si>
  <si>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t>16.04.2021 №83/04-53</t>
  </si>
  <si>
    <r>
      <t xml:space="preserve"> Перерозподіл бюджетних призначень в межах виділених річних асигнувань в сумі  8467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0813160 КЕКВ 2730,   а саме зменшення фінансування н</t>
    </r>
    <r>
      <rPr>
        <b/>
        <sz val="12"/>
        <rFont val="Times New Roman"/>
        <family val="1"/>
        <charset val="204"/>
      </rPr>
      <t>а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r>
    <r>
      <rPr>
        <sz val="12"/>
        <rFont val="Times New Roman"/>
        <family val="1"/>
        <charset val="204"/>
      </rPr>
      <t xml:space="preserve"> КЕКВ 2730, у зв'язку із створенням  управління соціального захисту та охорони здоров'я, окремої юридичної особи та головного розпорядника даних коштів</t>
    </r>
  </si>
  <si>
    <t>16.04.2021 б/н</t>
  </si>
  <si>
    <t xml:space="preserve"> Перерозподіл бюджетних призначень в межах виділених річних асигнувань в сумі  60000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0813104  КЕКВ 2210 в сумі 46500 грн. та КЕКВ 2220 в сумі 1000 грн., КЕКВ 2240 в сумі 12500 грн., на утримання центру  надання соціальних послуг Новоукраїнської міської ради, у зв'язку із створенням  управління соціального захисту та охорони здоров'я, окремої юридичної особи та головного розпорядника даних коштів (02 фонд -  плата за послуги бюджетних установ)</t>
  </si>
  <si>
    <t xml:space="preserve"> Перерозподіл бюджетних призначень в межах виділених річних асигнувань в сумі  60000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0113104  КЕКВ 2210 в сумі 46500 грн. та КЕКВ 2220 в сумі 1000 грн., КЕКВ 2240 в сумі 12500 грн., на утримання центру  надання соціальних послуг Новоукраїнської міської ради, у зв'язку із створенням  управління соціального захисту та охорони здоров'я, окремої юридичної особи та головного розпорядника даних коштів (02 фонд -  плата за послуги бюджетних установ)</t>
  </si>
  <si>
    <t>№02.3/13 від 29.03.2021 року</t>
  </si>
  <si>
    <t xml:space="preserve"> Перерозподіл бюджетних призначень в межах виділених річних асигнувань в сумі  342833 грн., перенесення фінансування   на КПКВ 0810160  КЕКВ 2111 в сумі 281010 грн. та КЕКВ 2120 в сумі 61823 грн.,  а саме зменшення фінансування на виплату заробітної плати  в сумі 281010 грн. КЕКВ 2111, нарахування на заробітну плату в сумі 61823 грн. КЕКВ 2120,  у зв'язку із створенням  управління соціального захисту та охорони, окремої юридичної особи та головного розпорядника коштів</t>
  </si>
  <si>
    <t>23.04.2021 б/н</t>
  </si>
  <si>
    <t>Рішення міської ради № 171  від 16.03.2021 року</t>
  </si>
  <si>
    <t>Комплексна програма попередження та припинення протиправних дій у сфері державної безпеки, профілактитки злочинності та цивільного захисту населення на території Новоукраїнської міської об’єднаної територіальної громади на 2018-2023 роки у новій редакції</t>
  </si>
  <si>
    <t>Бюджет Добровеличківської селищної територіальної громади</t>
  </si>
  <si>
    <t>Субвенція  бюджету Добровеличківської селищної територіальної громади  у сумі 50000 грн. із бюджету Новоукраїнської  міської територіальної громади на співфінансування з оплати  робіт по реконструкції системи киснепостачання комунального некомерційного підприємства "Добровеличківська лікарня"</t>
  </si>
  <si>
    <t xml:space="preserve">до рішення </t>
  </si>
  <si>
    <t>Міжбюджетні трансферти на 2021 рік бюджету Новоукраїнської міської територіальної громади в новій редакції</t>
  </si>
  <si>
    <t>бюджету Новоукраїнської міської територіальної громади на 2021 рік в новій редакції</t>
  </si>
  <si>
    <t>ЗМІНИ ДО РОЗПОДІЛУ
видатків бюджету Новоукраїнської міської територіальної громади на 2021 рік</t>
  </si>
  <si>
    <t xml:space="preserve">ЗМІНИ ДО ДОХОДІВ </t>
  </si>
  <si>
    <t xml:space="preserve">Розподіл витрат бюджету Новоукраїнської міської  територіальної громади  на реалізацію міських програм у 2021 році в новій редакції
</t>
  </si>
  <si>
    <t xml:space="preserve">ПОЯСНЮВАЛЬНА ЗАПИСКА ДО РІШЕННЯ НОВОУКРАЇНСЬКОЇ МІСЬКОЇ РАДИ "Про  внесення  змін до рішення  міської ради від  22  грудня  2020  року  № 65
"Про  бюджет  Новоукраїнської  міської територіальної громади на 2021 рік"
</t>
  </si>
  <si>
    <r>
      <t xml:space="preserve">Перерозподіл бюджетних призначень в межах виділених річних асигнувань в сумі 1828 грн., перенесення фінансування  на КПКВ 0110150 КЕКВ 2240, </t>
    </r>
    <r>
      <rPr>
        <b/>
        <sz val="12"/>
        <color indexed="8"/>
        <rFont val="Times New Roman"/>
        <family val="1"/>
        <charset val="204"/>
      </rPr>
      <t>зменшення фінансування на  поточний ремонт доріг КЕКВ 2240</t>
    </r>
  </si>
  <si>
    <t>29.04.2021 б/н</t>
  </si>
  <si>
    <t xml:space="preserve">07.05.2021        №314/01-14 </t>
  </si>
  <si>
    <t>0117693</t>
  </si>
  <si>
    <r>
      <t xml:space="preserve">Додаткові кошти в сумі 5000 грн. на </t>
    </r>
    <r>
      <rPr>
        <b/>
        <sz val="12"/>
        <rFont val="Times New Roman"/>
        <family val="1"/>
        <charset val="204"/>
      </rPr>
      <t>оплату послуг за реєстрацію трактора МТЗ 1523,</t>
    </r>
    <r>
      <rPr>
        <sz val="12"/>
        <rFont val="Times New Roman"/>
        <family val="1"/>
        <charset val="204"/>
      </rPr>
      <t xml:space="preserve"> за рахунок вільного залишку коштів станом на 01.01.2021 року КЕКВ 2240</t>
    </r>
  </si>
  <si>
    <r>
      <t xml:space="preserve">Перерозподіл бюджетних призначень в межах виділених річних асигнувань в сумі 10000 грн., перенесення фінансування з КПКВ 0117461 КЕКВ 2240, збільшення фінансування на </t>
    </r>
    <r>
      <rPr>
        <b/>
        <sz val="12"/>
        <color indexed="8"/>
        <rFont val="Times New Roman"/>
        <family val="1"/>
        <charset val="204"/>
      </rPr>
      <t>придбання саджанців до 1 року</t>
    </r>
    <r>
      <rPr>
        <sz val="12"/>
        <color indexed="8"/>
        <rFont val="Times New Roman"/>
        <family val="1"/>
        <charset val="204"/>
      </rPr>
      <t xml:space="preserve"> КЕКВ 2210</t>
    </r>
  </si>
  <si>
    <r>
      <t xml:space="preserve">Перерозподіл бюджетних призначень в межах виділених річних асигнувань в сумі  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культури і туризму, перенесення фінансування   з КПКВ 0117461 КЕКВ 2240, збільшення фінансування на </t>
    </r>
    <r>
      <rPr>
        <b/>
        <sz val="12"/>
        <color indexed="8"/>
        <rFont val="Times New Roman"/>
        <family val="1"/>
        <charset val="204"/>
      </rPr>
      <t xml:space="preserve">придбання матеріалів для поточного ремонту  підлоги гаражних приміщень МПК "Ювілейний" </t>
    </r>
    <r>
      <rPr>
        <sz val="12"/>
        <color indexed="8"/>
        <rFont val="Times New Roman"/>
        <family val="1"/>
        <charset val="204"/>
      </rPr>
      <t>КЕКВ 2210</t>
    </r>
  </si>
  <si>
    <r>
      <t xml:space="preserve"> Перерозподіл бюджетних призначень в межах виділених річних асигнувань  в сумі  21000 грн., перенесення фінансування з КЕКВ 2240, а саме збільшення фінансування на реалізацію </t>
    </r>
    <r>
      <rPr>
        <b/>
        <sz val="12"/>
        <color theme="1"/>
        <rFont val="Times New Roman"/>
        <family val="1"/>
        <charset val="204"/>
      </rPr>
      <t xml:space="preserve">міні-проекту "Про дозвілля треба дбати - будемо здоров"я мати" </t>
    </r>
    <r>
      <rPr>
        <sz val="12"/>
        <color theme="1"/>
        <rFont val="Times New Roman"/>
        <family val="1"/>
        <charset val="204"/>
      </rPr>
      <t>переможця конкурсу міні-проектів Новоукраїнської міської об'єднаної територіальної громади "Влада і громада - разом!" -  на облаштування майданчика для дозвілля (альтанка 21000 грн.) КЕКВ 3110 (загальна вартість міні- проекту 56259 грн., з них кошти бюджету - 49999 грн.)</t>
    </r>
  </si>
  <si>
    <t>13.05.2021 б/н</t>
  </si>
  <si>
    <t>7693</t>
  </si>
  <si>
    <t>Інші заходи, пов'язані з економічною діяльністю</t>
  </si>
  <si>
    <r>
      <t xml:space="preserve">Перерозподіл бюджетних призначень в межах виділених річних асигнувань в сумі 1828 грн., перенесення фінансування з КПКВ 0117461 КЕКВ 2240, збільшення фінансування для </t>
    </r>
    <r>
      <rPr>
        <b/>
        <sz val="12"/>
        <color indexed="8"/>
        <rFont val="Times New Roman"/>
        <family val="1"/>
        <charset val="204"/>
      </rPr>
      <t xml:space="preserve"> оплату послуг страхування орендованого нрерухомого майна в сумі 828 грн. та компенсації балансоутримувачу Новоукраїнській міській раді витрат, пов'язаних з проведенням незалежної оцінки нерухомого майна, що здається в оренду</t>
    </r>
    <r>
      <rPr>
        <sz val="12"/>
        <color indexed="8"/>
        <rFont val="Times New Roman"/>
        <family val="1"/>
        <charset val="204"/>
      </rPr>
      <t xml:space="preserve"> в сумі 1000 грн. КЕКВ 2240</t>
    </r>
  </si>
  <si>
    <t>07.05.2021        №631</t>
  </si>
  <si>
    <r>
      <t xml:space="preserve">Перерозподіл бюджетних призначень в межах виділених річних асигнувань в сумі 49000 грн., перенесення фінансування  з КПКВ 0117461 КЕКВ 2240, збільшення фінансування  </t>
    </r>
    <r>
      <rPr>
        <b/>
        <sz val="12"/>
        <color indexed="8"/>
        <rFont val="Times New Roman"/>
        <family val="1"/>
        <charset val="204"/>
      </rPr>
      <t xml:space="preserve">на оплату поточного ремонту покрівлі приміщення колишнього ДНЗ "Сонечко", переданого </t>
    </r>
    <r>
      <rPr>
        <sz val="12"/>
        <color indexed="8"/>
        <rFont val="Times New Roman"/>
        <family val="1"/>
        <charset val="204"/>
      </rPr>
      <t xml:space="preserve"> виконавчому комітету на утримання </t>
    </r>
    <r>
      <rPr>
        <sz val="12"/>
        <color rgb="FFFF0000"/>
        <rFont val="Times New Roman"/>
        <family val="1"/>
        <charset val="204"/>
      </rPr>
      <t xml:space="preserve"> </t>
    </r>
    <r>
      <rPr>
        <sz val="12"/>
        <color indexed="8"/>
        <rFont val="Times New Roman"/>
        <family val="1"/>
        <charset val="204"/>
      </rPr>
      <t>КЕКВ 2240</t>
    </r>
  </si>
  <si>
    <r>
      <t xml:space="preserve"> Перерозподіл бюджетних призначень в межах виділених річних асигнувань в сумі  3360 грн., перенесення фінансування з КПКВ 0116030 КЕКВ 2240, а саме збільшення фінансування на реалізацію </t>
    </r>
    <r>
      <rPr>
        <b/>
        <sz val="12"/>
        <color indexed="8"/>
        <rFont val="Times New Roman"/>
        <family val="1"/>
        <charset val="204"/>
      </rPr>
      <t>міні-проекту - "QR-місто"</t>
    </r>
    <r>
      <rPr>
        <sz val="12"/>
        <color indexed="8"/>
        <rFont val="Times New Roman"/>
        <family val="1"/>
        <charset val="204"/>
      </rPr>
      <t xml:space="preserve">   переможця конкурсу міні-проектів Новоукраїнської міської об'єднаної територіальної громади "Влада і громада - разом!" -  виготовлення фасадних табличок із композитного матеріалу (загальна вартість міні- проекту 3860 грн., з них кошти бюджету - 3360 грн.) КЕКВ 2210</t>
    </r>
  </si>
  <si>
    <t>Програма Призовник</t>
  </si>
  <si>
    <r>
      <t xml:space="preserve">Перерозподіл бюджетних призначень в межах виділених річних асигнувань в сумі  1000000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0117461 КЕКВ2240 </t>
    </r>
    <r>
      <rPr>
        <b/>
        <sz val="12"/>
        <color indexed="8"/>
        <rFont val="Times New Roman"/>
        <family val="1"/>
        <charset val="204"/>
      </rPr>
      <t xml:space="preserve"> на  виконанн програми Програми розвитку, підтримки комунальних закладів охорони здоров’я та надання медичних послуг у новій редакції та надання населенню медичних послуг понад обсяг, передбачений програмою державних гарантій медичного обслуговування населення для утримання пологового відділення КНП "Новоукраїнська  районна лікарня" </t>
    </r>
    <r>
      <rPr>
        <sz val="12"/>
        <color indexed="8"/>
        <rFont val="Times New Roman"/>
        <family val="1"/>
        <charset val="204"/>
      </rPr>
      <t>Новоукраїнської районної ради КЕКВ 2610</t>
    </r>
  </si>
  <si>
    <t xml:space="preserve"> оплата праці пологового відділення</t>
  </si>
  <si>
    <t xml:space="preserve">придбання медикаментів та інші матеріали  для  пологового відділення </t>
  </si>
  <si>
    <t xml:space="preserve">0611141 </t>
  </si>
  <si>
    <t xml:space="preserve">31.05.2021        №01-14/375 </t>
  </si>
  <si>
    <t xml:space="preserve">31.05.2021        №01-14/373 </t>
  </si>
  <si>
    <t xml:space="preserve">31.05.2021        №01-14/372 </t>
  </si>
  <si>
    <t>02.06.2021 №53/01-29</t>
  </si>
  <si>
    <r>
      <t>Додаткові кошти в сумі 5405 грн.</t>
    </r>
    <r>
      <rPr>
        <b/>
        <sz val="12"/>
        <color indexed="8"/>
        <rFont val="Times New Roman"/>
        <family val="1"/>
        <charset val="204"/>
      </rPr>
      <t xml:space="preserve"> на  отримання експертних висновків щодо доступності приміщень, в яких здійснюється лікарська діяльність для інвалідів та маломобільних груп населення,  співфінансування за рахунок субвенції з бюджету Глодоської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</si>
  <si>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Додаткові кошти в сумі 68000 грн. на </t>
    </r>
    <r>
      <rPr>
        <b/>
        <sz val="12"/>
        <color indexed="8"/>
        <rFont val="Times New Roman"/>
        <family val="1"/>
        <charset val="204"/>
      </rPr>
      <t xml:space="preserve"> оплату праці з нарахуванням завідувачів та молодшого медичного персоналу ФАПів, що обслуговують сільське населення </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</si>
  <si>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10212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t>
    </r>
    <r>
      <rPr>
        <b/>
        <sz val="12"/>
        <color indexed="8"/>
        <rFont val="Times New Roman"/>
        <family val="1"/>
        <charset val="204"/>
      </rPr>
      <t>на оплату послуг з перезарядки вогнегасників  по Новоукраїнських комунальних ДНЗ громади</t>
    </r>
    <r>
      <rPr>
        <sz val="12"/>
        <color indexed="8"/>
        <rFont val="Times New Roman"/>
        <family val="1"/>
        <charset val="204"/>
      </rPr>
      <t xml:space="preserve"> КЕКВ 2240 </t>
    </r>
  </si>
  <si>
    <r>
      <t xml:space="preserve">Перерозподіл бюджетних призначень в межах виділених річних асигнувань в сумі 25000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на оплату </t>
    </r>
    <r>
      <rPr>
        <b/>
        <sz val="12"/>
        <color indexed="8"/>
        <rFont val="Times New Roman"/>
        <family val="1"/>
        <charset val="204"/>
      </rPr>
      <t>поточного ремонту частини покрівлі  будівлі Захарівської філії Новоукраїнського НВК №8 "Ліцей - заклад дошкільної освіти" за адресою: Новоукраїнський район, с. Захарівка, пр. Шкільний, 4</t>
    </r>
    <r>
      <rPr>
        <sz val="12"/>
        <color indexed="8"/>
        <rFont val="Times New Roman"/>
        <family val="1"/>
        <charset val="204"/>
      </rPr>
      <t xml:space="preserve"> КЕКВ 2240 </t>
    </r>
  </si>
  <si>
    <t xml:space="preserve">03.06.2021        №01-14/385 </t>
  </si>
  <si>
    <t>рішення 278 від 25.05.2021 року</t>
  </si>
  <si>
    <r>
      <t xml:space="preserve">Перерозподіл бюджетних призначень в межах виділених річних асигнувань в сумі  15000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0117363 КЕКВ 3142, збільшення фінансування </t>
    </r>
    <r>
      <rPr>
        <b/>
        <sz val="12"/>
        <color indexed="8"/>
        <rFont val="Times New Roman"/>
        <family val="1"/>
        <charset val="204"/>
      </rPr>
      <t xml:space="preserve">на реалізацію Програми соціальної підтримки населення на території Новоукраїнської міської об'єднаної територіальної громади на 2021-2023 роки для відшкодування коштів за пільговий проїзд учасникам бойових дій Другої Світової   війни, бойових дій на території інших країн, особам з інвалідністю внаслідок війни та членам сімей загиблих воїнів-  інтернаціоналістів </t>
    </r>
    <r>
      <rPr>
        <sz val="12"/>
        <color indexed="8"/>
        <rFont val="Times New Roman"/>
        <family val="1"/>
        <charset val="204"/>
      </rPr>
      <t>Новоукраїнської міської ради,  КЕКВ 2730</t>
    </r>
  </si>
  <si>
    <t xml:space="preserve">03.06.2021  б/н </t>
  </si>
  <si>
    <t>на придбання медикаментів (забезпечення безкоштовним пільговим відпуском медикаментів та інших)</t>
  </si>
  <si>
    <r>
      <t>Додаткові кошти в сумі 10980 грн.</t>
    </r>
    <r>
      <rPr>
        <b/>
        <sz val="12"/>
        <color indexed="8"/>
        <rFont val="Times New Roman"/>
        <family val="1"/>
        <charset val="204"/>
      </rPr>
      <t xml:space="preserve"> на  оплату праці з нарахуванням завідувачів та молодшого медичного персоналу ФАПів, що обслуговують сільське населення, співфінансування за рахунок субвенції з бюджету Ганнівської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</si>
  <si>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44530 грн., перерозподіл видатків між головними розпорядниками коштів з головного розпорядника коштів відділу освіти  на головного розпорядника коштів  виконавчий комітет Новоукраїнської міської ради  на КПКВ 0110150  КЕКВ 2111 в сумі 36500 грн. та КЕКВ 2120 в сумі 8030 грн.,  а саме зменшення фінансування  на виплату </t>
    </r>
    <r>
      <rPr>
        <b/>
        <sz val="12"/>
        <rFont val="Times New Roman"/>
        <family val="1"/>
        <charset val="204"/>
      </rPr>
      <t xml:space="preserve">заробітної плати  </t>
    </r>
    <r>
      <rPr>
        <sz val="12"/>
        <rFont val="Times New Roman"/>
        <family val="1"/>
        <charset val="204"/>
      </rPr>
      <t xml:space="preserve">в сумі  36500 грн. КЕКВ 2111, нарахування на заробітну плату в сумі 8030 грн. КЕКВ 2120, </t>
    </r>
    <r>
      <rPr>
        <b/>
        <sz val="12"/>
        <rFont val="Times New Roman"/>
        <family val="1"/>
        <charset val="204"/>
      </rPr>
      <t>у зв'язку з перенесенням однієї посади сторожа з Новоукраїнського НВК №8 "Загальноосвітня школа І-ІІ ступенів - дошкільний навчальний заклад до виконавчого комітету</t>
    </r>
    <r>
      <rPr>
        <sz val="12"/>
        <rFont val="Times New Roman"/>
        <family val="1"/>
        <charset val="204"/>
      </rPr>
      <t xml:space="preserve"> Новоукраїнської міської ради,  відповідно з внесеними змінами до структури</t>
    </r>
  </si>
  <si>
    <t xml:space="preserve">Перерозподіл бюджетних призначень в межах виділених річних асигнувань в сумі 23500 грн., перенесення фінансування з КПКВ 0117363 КЕКВ 3142, а саме збільшення фінансування на придбання глибинного насосу  для Новоукраїнського ЖКП,  для вирішення питання безперебійного водопостачання на ремонт свердловини по вул.Шевченка КЕКВ 3110 </t>
  </si>
  <si>
    <t>14.06.2021 №165</t>
  </si>
  <si>
    <r>
      <t xml:space="preserve">Перерозподіл бюджетних призначень в межах виділених річних асигнувань в сумі 58406 грн.,  перенесення фінансування  з КПКВ 0611010 КЕКВ2275 в сумі 34000 грн., з КПКВ 0611070 КЕКВ2275 в сумі 11962 грн., з КПКВ 0611141 КЕКВ2275 в сумі 12444 грн., в зв'язку з економією коштів  та збільшення фінансування на </t>
    </r>
    <r>
      <rPr>
        <b/>
        <sz val="12"/>
        <color indexed="8"/>
        <rFont val="Times New Roman"/>
        <family val="1"/>
        <charset val="204"/>
      </rPr>
      <t xml:space="preserve">придбання вугілля для Новоукраїнських загальноосвітніх  навчальних </t>
    </r>
    <r>
      <rPr>
        <sz val="12"/>
        <color indexed="8"/>
        <rFont val="Times New Roman"/>
        <family val="1"/>
        <charset val="204"/>
      </rPr>
      <t>закладах громади КЕКВ 2275 КПКВ 0611021</t>
    </r>
  </si>
  <si>
    <t>28521/5/11-28-24-04 від 17.05.21 постанова № 1330 від 28.12.20</t>
  </si>
  <si>
    <r>
      <t xml:space="preserve">Перерозподіл бюджетних призначень в межах виділених річних асигнувань в сумі  22000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0813104 КЕКВ 2240, </t>
    </r>
    <r>
      <rPr>
        <b/>
        <sz val="12"/>
        <color indexed="8"/>
        <rFont val="Times New Roman"/>
        <family val="1"/>
        <charset val="204"/>
      </rPr>
      <t xml:space="preserve">зменшення фінансування на  поточний ремонт доріг </t>
    </r>
    <r>
      <rPr>
        <sz val="12"/>
        <color indexed="8"/>
        <rFont val="Times New Roman"/>
        <family val="1"/>
        <charset val="204"/>
      </rPr>
      <t>КЕКВ 2240</t>
    </r>
  </si>
  <si>
    <r>
      <t xml:space="preserve">Перерозподіл бюджетних призначень в межах виділених річних асигнувань в сумі  49000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освіти, перенесення фінансування  на КПКВ 0611021 КЕКВ 2240, </t>
    </r>
    <r>
      <rPr>
        <b/>
        <sz val="12"/>
        <color indexed="8"/>
        <rFont val="Times New Roman"/>
        <family val="1"/>
        <charset val="204"/>
      </rPr>
      <t>зменшення фінансування на  поточний ремонт доріг</t>
    </r>
    <r>
      <rPr>
        <sz val="12"/>
        <color indexed="8"/>
        <rFont val="Times New Roman"/>
        <family val="1"/>
        <charset val="204"/>
      </rPr>
      <t xml:space="preserve"> КЕКВ 2240</t>
    </r>
  </si>
  <si>
    <t>29.06.2021        №186</t>
  </si>
  <si>
    <t>29.06.2021        №87</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</si>
  <si>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</si>
  <si>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0117540</t>
  </si>
  <si>
    <t>7540</t>
  </si>
  <si>
    <t>0460</t>
  </si>
  <si>
    <t>Реалізація заходів, спрямованих на підвищення доступності широкосмугового доступу до Інтернету в сільській місцевості</t>
  </si>
  <si>
    <t>22.06.2021 б/н</t>
  </si>
  <si>
    <t>0611182</t>
  </si>
  <si>
    <t xml:space="preserve">02.07.2021        №01-14/414 </t>
  </si>
  <si>
    <t>Додаткові кошти на  співфінансування в розмірі 10 % в сумі 2500 грн., відповідно до розпорядження голови ОДА № 265-р від 03 травня 2018 року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  на оплату витрат на відрядження вчителів, асистентів вчителів закладів загальної середньої освіти з інклюзивним та інтегрованим навчанням КЕКВ 2250 та на закупівлю дидактичних матеріалів, сучасних меблів в сумі 45200 грн. КЕКВ 2210</t>
  </si>
  <si>
    <t>29.06.2021 б/н</t>
  </si>
  <si>
    <t>17.06.2021 №131/04-53</t>
  </si>
  <si>
    <t xml:space="preserve">02.07.2021        №01-14/415 </t>
  </si>
  <si>
    <t>0611181</t>
  </si>
  <si>
    <t>30.06.2021        №182/01-20</t>
  </si>
  <si>
    <r>
      <t xml:space="preserve">Перерозподіл бюджетних призначень в межах виділених річних асигнувань в сумі  45000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культури і туризму, перенесення фінансування   на КПКВ 1014082 КЕКВ 2240, </t>
    </r>
    <r>
      <rPr>
        <b/>
        <sz val="12"/>
        <color indexed="8"/>
        <rFont val="Times New Roman"/>
        <family val="1"/>
        <charset val="204"/>
      </rPr>
      <t xml:space="preserve">зменшення фінансування  на придбання бензину в сумі 30000 грн., газу в  сумі 10000 грн.,  оприскувачів сумі 5000 грн. </t>
    </r>
    <r>
      <rPr>
        <sz val="12"/>
        <color indexed="8"/>
        <rFont val="Times New Roman"/>
        <family val="1"/>
        <charset val="204"/>
      </rPr>
      <t>КЕКВ 2210</t>
    </r>
  </si>
  <si>
    <t>05.07.2020 б/н</t>
  </si>
  <si>
    <r>
      <t xml:space="preserve">Перерозподіл бюджетних призначень в межах виділених річних асигнувань в сумі  45000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культури і туризму, перенесення фінансування   з  КПКВ 0118110 КЕКВ 2210, збільшення фінансування на </t>
    </r>
    <r>
      <rPr>
        <b/>
        <sz val="12"/>
        <color indexed="8"/>
        <rFont val="Times New Roman"/>
        <family val="1"/>
        <charset val="204"/>
      </rPr>
      <t xml:space="preserve">проведення робіт з підготовки та  упорядкування території громади до відзначення Дня незалежності України та святкування дня села </t>
    </r>
    <r>
      <rPr>
        <sz val="12"/>
        <color indexed="8"/>
        <rFont val="Times New Roman"/>
        <family val="1"/>
        <charset val="204"/>
      </rPr>
      <t>КЕКВ 2240</t>
    </r>
  </si>
  <si>
    <t>1182</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</si>
  <si>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</si>
  <si>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</si>
  <si>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</si>
  <si>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у тому числі за рахунок субвенції з державного бюджету</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</si>
  <si>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</si>
  <si>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0611210</t>
  </si>
  <si>
    <t>1210</t>
  </si>
  <si>
    <r>
      <t xml:space="preserve">Перерозподіл бюджетних призначень в межах виділених річних асигнувань в сумі 15000 грн., перенесення фінансування з   КПКВ 0117363  КЕКВ 3142,  а саме  збільшення фінансування відповідно </t>
    </r>
    <r>
      <rPr>
        <b/>
        <sz val="12"/>
        <color indexed="8"/>
        <rFont val="Times New Roman"/>
        <family val="1"/>
        <charset val="204"/>
      </rPr>
      <t xml:space="preserve">до клопотання  КП "Водокомунгосп" </t>
    </r>
    <r>
      <rPr>
        <sz val="12"/>
        <color indexed="8"/>
        <rFont val="Times New Roman"/>
        <family val="1"/>
        <charset val="204"/>
      </rPr>
      <t xml:space="preserve"> </t>
    </r>
    <r>
      <rPr>
        <b/>
        <sz val="12"/>
        <color indexed="8"/>
        <rFont val="Times New Roman"/>
        <family val="1"/>
        <charset val="204"/>
      </rPr>
      <t xml:space="preserve">для проведення технічної інвентаризації нерухомого майна водопровідного господарства з виготовленням технічного паспорту, </t>
    </r>
    <r>
      <rPr>
        <sz val="12"/>
        <color indexed="8"/>
        <rFont val="Times New Roman"/>
        <family val="1"/>
        <charset val="204"/>
      </rPr>
      <t xml:space="preserve"> як фінансову підтримку одержувачу коштів бюджету  Новоукраїнської  міської територіальної громади  КЕКВ 2610</t>
    </r>
  </si>
  <si>
    <r>
      <t xml:space="preserve">Перерозподіл бюджетних призначень в межах виділених річних асигнувань в сумі 212753 грн., перенесення фінансування з КПКВ 0611021 КЕКВ 2230, а саме збільшення фінансування відповідно  до постанови Кабінету Міністрів України від 4 квітня 2018 р. N 237 (із змінами) та розпорядження голови ОДА №478-р від 26 червня 2021 року, за рахунок </t>
    </r>
    <r>
      <rPr>
        <b/>
        <sz val="12"/>
        <rFont val="Times New Roman"/>
        <family val="1"/>
        <charset val="204"/>
      </rPr>
      <t>співфінансування з бюджету  Новоукраїнської  міської  територіальної громади на закупівлю засобів навчання та обладнання, сучасних меблів, комп'ютерного обладнання</t>
    </r>
    <r>
      <rPr>
        <sz val="12"/>
        <rFont val="Times New Roman"/>
        <family val="1"/>
        <charset val="204"/>
      </rPr>
      <t xml:space="preserve"> КЕКВ 2210</t>
    </r>
  </si>
  <si>
    <r>
      <t xml:space="preserve">Додаткові кошти  в сумі 666841 грн., а саме відповідно  до постанови Кабінету Міністрів України від 4 квітня 2018 р. N 237 (із змінами) та розпорядження голови ОДА №478-р від 26 червня 2021 року за </t>
    </r>
    <r>
      <rPr>
        <b/>
        <sz val="12"/>
        <rFont val="Times New Roman"/>
        <family val="1"/>
        <charset val="204"/>
      </rPr>
      <t>рахунок субвенції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 на закупівлю засобів навчання т а обладнання, сучасних меблів, комп'ютерного обладнання в сумі 494656 грн. КЕКВ 2210, на оплату витрат на відрядження вчителів, асистентів вчителів закладів загальної середньої освіти в сумі 161527 грн. КЕКВ 2250 та  на проведення супервізії в сумі 10658 грн</t>
    </r>
    <r>
      <rPr>
        <sz val="12"/>
        <rFont val="Times New Roman"/>
        <family val="1"/>
        <charset val="204"/>
      </rPr>
      <t>. КЕКВ 2240</t>
    </r>
  </si>
  <si>
    <r>
      <t>Перерозподіл бюджетних призначень в межах виділених річних асигнувань в сумі 156566 грн., перенесення фінансування  з КПКВ 0611200 КЕКВ 3110, а саме збільшення фінансування</t>
    </r>
    <r>
      <rPr>
        <b/>
        <sz val="12"/>
        <color indexed="8"/>
        <rFont val="Times New Roman"/>
        <family val="1"/>
        <charset val="204"/>
      </rPr>
      <t xml:space="preserve"> для придбання спеціальних засобів корекції психофізичного розвитку для осіб з особливими освітніми потребами</t>
    </r>
    <r>
      <rPr>
        <sz val="12"/>
        <color indexed="8"/>
        <rFont val="Times New Roman"/>
        <family val="1"/>
        <charset val="204"/>
      </rPr>
      <t>, так як вартість одиниці товару становить менше 20000 грн. КЕКВ 2210</t>
    </r>
  </si>
  <si>
    <r>
      <t>Додаткові кошти  в сумі  308900 грн.,  а саме відповідно  до постанови Кабінету Міністрів України від 02  червня 2021 р. N 585 та розпорядження голови ОДА №476-р від 24 червня 2021 року, з</t>
    </r>
    <r>
      <rPr>
        <b/>
        <sz val="12"/>
        <color indexed="8"/>
        <rFont val="Times New Roman"/>
        <family val="1"/>
        <charset val="204"/>
      </rPr>
      <t>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(на інсулін)</t>
    </r>
    <r>
      <rPr>
        <sz val="12"/>
        <color indexed="8"/>
        <rFont val="Times New Roman"/>
        <family val="1"/>
        <charset val="204"/>
      </rPr>
      <t xml:space="preserve"> КЕКВ 2730</t>
    </r>
  </si>
  <si>
    <r>
      <t xml:space="preserve">Перерозподіл бюджетних призначень в межах виділених річних асигнувань в сумі 10700 грн., перенесення фінансування   на КПКВ 0116030 КЕКВ 2240,  а </t>
    </r>
    <r>
      <rPr>
        <b/>
        <sz val="12"/>
        <color theme="1"/>
        <rFont val="Times New Roman"/>
        <family val="1"/>
        <charset val="204"/>
      </rPr>
      <t>саме зменшення фінансування  з міні - проектів у зв'язку з економією коштів</t>
    </r>
    <r>
      <rPr>
        <sz val="12"/>
        <color theme="1"/>
        <rFont val="Times New Roman"/>
        <family val="1"/>
        <charset val="204"/>
      </rPr>
      <t xml:space="preserve">   КЕКВ 3110</t>
    </r>
  </si>
  <si>
    <r>
      <t xml:space="preserve"> Перерозподіл бюджетних призначень в межах виділених річних асигнувань в сумі  9000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0117461 КЕКВ 2240,   а саме збільшення фінансування </t>
    </r>
    <r>
      <rPr>
        <b/>
        <sz val="12"/>
        <rFont val="Times New Roman"/>
        <family val="1"/>
        <charset val="204"/>
      </rPr>
      <t xml:space="preserve">проведення ринкової оціночної вартості кабінетів  приміщення КУ "Центр соціальних послуг" </t>
    </r>
    <r>
      <rPr>
        <sz val="12"/>
        <rFont val="Times New Roman"/>
        <family val="1"/>
        <charset val="204"/>
      </rPr>
      <t xml:space="preserve"> КЕКВ 2240</t>
    </r>
  </si>
  <si>
    <r>
      <t xml:space="preserve">Перерозподіл бюджетних призначень в межах виділених річних асигнувань в сумі  175000 грн., перенесення фінансування  на КПКВ 1017330 КЕКВ 3132, </t>
    </r>
    <r>
      <rPr>
        <b/>
        <sz val="12"/>
        <color indexed="8"/>
        <rFont val="Times New Roman"/>
        <family val="1"/>
        <charset val="204"/>
      </rPr>
      <t>зменшення фінансування на  поточний ремонт доріг</t>
    </r>
    <r>
      <rPr>
        <sz val="12"/>
        <color indexed="8"/>
        <rFont val="Times New Roman"/>
        <family val="1"/>
        <charset val="204"/>
      </rPr>
      <t xml:space="preserve"> КЕКВ 2240</t>
    </r>
  </si>
  <si>
    <r>
      <t xml:space="preserve"> Перерозподіл бюджетних призначень в межах виділених річних асигнувань в сумі  175000 грн.,  перенесення фінансування   на КПКВ 0117461 КЕКВ 3132,  </t>
    </r>
    <r>
      <rPr>
        <b/>
        <sz val="12"/>
        <color indexed="8"/>
        <rFont val="Times New Roman"/>
        <family val="1"/>
        <charset val="204"/>
      </rPr>
      <t xml:space="preserve">а саме зменшення фінансування  на  співфінансування </t>
    </r>
    <r>
      <rPr>
        <sz val="12"/>
        <color indexed="8"/>
        <rFont val="Times New Roman"/>
        <family val="1"/>
        <charset val="204"/>
      </rPr>
      <t xml:space="preserve"> </t>
    </r>
    <r>
      <rPr>
        <b/>
        <sz val="12"/>
        <color indexed="8"/>
        <rFont val="Times New Roman"/>
        <family val="1"/>
        <charset val="204"/>
      </rPr>
      <t>інвестиційних проектів,</t>
    </r>
    <r>
      <rPr>
        <sz val="12"/>
        <color indexed="8"/>
        <rFont val="Times New Roman"/>
        <family val="1"/>
        <charset val="204"/>
      </rPr>
      <t xml:space="preserve"> які передбачається фінансувати у 2021 році в рамках здійснення заходів щодо соціально-економічного розвитку окремих територій КЕКВ 3142</t>
    </r>
  </si>
  <si>
    <r>
      <t xml:space="preserve">Перерозподіл бюджетних призначень в межах виділених річних асигнувань в сумі 5000 грн., перенесення фінансування   на КПКВ 0116030 КЕКВ 2240,  а саме </t>
    </r>
    <r>
      <rPr>
        <b/>
        <sz val="12"/>
        <color indexed="8"/>
        <rFont val="Times New Roman"/>
        <family val="1"/>
        <charset val="204"/>
      </rPr>
      <t>зменшення фінансування  з   придбання трактора МТЗ 1523</t>
    </r>
    <r>
      <rPr>
        <sz val="12"/>
        <color indexed="8"/>
        <rFont val="Times New Roman"/>
        <family val="1"/>
        <charset val="204"/>
      </rPr>
      <t xml:space="preserve"> </t>
    </r>
    <r>
      <rPr>
        <b/>
        <sz val="12"/>
        <color indexed="8"/>
        <rFont val="Times New Roman"/>
        <family val="1"/>
        <charset val="204"/>
      </rPr>
      <t xml:space="preserve">для  Новоукраїнського ЖКП </t>
    </r>
    <r>
      <rPr>
        <sz val="12"/>
        <color indexed="8"/>
        <rFont val="Times New Roman"/>
        <family val="1"/>
        <charset val="204"/>
      </rPr>
      <t xml:space="preserve">КЕКВ 3110  </t>
    </r>
    <r>
      <rPr>
        <b/>
        <sz val="12"/>
        <color indexed="8"/>
        <rFont val="Times New Roman"/>
        <family val="1"/>
        <charset val="204"/>
      </rPr>
      <t>за рахунок економії коштів</t>
    </r>
  </si>
  <si>
    <r>
      <t>Перерозподіл бюджетних призначень в межах виділених річних асигнувань в сумі 175000 грн.,  перенесення фінансування  з КПКВ 0117363 КЕКВ 3142, а саме збільшення фінансування  на</t>
    </r>
    <r>
      <rPr>
        <b/>
        <sz val="12"/>
        <rFont val="Times New Roman"/>
        <family val="1"/>
        <charset val="204"/>
      </rPr>
      <t xml:space="preserve"> виготовлення проектів на "Капітальний ремонт  вул.  Богдана Хмельницького - гребля- пров. Ковальський (на ділянці від вул. М.Вороного до вул. Покровська в м. Новоукраїнка" та  "Капітальний ремонт   місцевої дороги загального користування О 121402 від с. Новоолександрівка до с.Звірівка"  </t>
    </r>
    <r>
      <rPr>
        <sz val="12"/>
        <rFont val="Times New Roman"/>
        <family val="1"/>
        <charset val="204"/>
      </rPr>
      <t>КЕКВ 3132</t>
    </r>
  </si>
  <si>
    <t>до рішення Новоукраїнської міської ради</t>
  </si>
  <si>
    <r>
      <t xml:space="preserve">Перерозподіл бюджетних призначень в межах виділених річних асигнувань в сумі 17040 грн., перенесення фінансування з  КПКВ 0117461  КЕКВ 2240, а саме  збільшення фінансування відповідно </t>
    </r>
    <r>
      <rPr>
        <b/>
        <sz val="12"/>
        <color indexed="8"/>
        <rFont val="Times New Roman"/>
        <family val="1"/>
        <charset val="204"/>
      </rPr>
      <t xml:space="preserve">до клопотання Новоукраїнського ЖКП,  для придбання запасних частин до грейдера </t>
    </r>
    <r>
      <rPr>
        <sz val="12"/>
        <color indexed="8"/>
        <rFont val="Times New Roman"/>
        <family val="1"/>
        <charset val="204"/>
      </rPr>
      <t xml:space="preserve">КЕКВ 2610 </t>
    </r>
  </si>
  <si>
    <t>рішення №509 від 30.06.2021 року</t>
  </si>
  <si>
    <r>
      <t>Додаткові кошти в сумі 31700 грн.</t>
    </r>
    <r>
      <rPr>
        <b/>
        <sz val="12"/>
        <color indexed="8"/>
        <rFont val="Times New Roman"/>
        <family val="1"/>
        <charset val="204"/>
      </rPr>
      <t xml:space="preserve"> на придбання будівельних матеріалів, співфінансування за рахунок субвенції з бюджету Ганнівської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</si>
  <si>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Додаткові кошти в сумі 3000 грн.</t>
    </r>
    <r>
      <rPr>
        <b/>
        <sz val="12"/>
        <color indexed="8"/>
        <rFont val="Times New Roman"/>
        <family val="1"/>
        <charset val="204"/>
      </rPr>
      <t xml:space="preserve"> на придбання медикаментів (забезпечення безкоштовним пільговим відпуском медикаментів), співфінансування за рахунок субвенції з бюджету Глодоської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</si>
  <si>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рішення 422 від 08.07.2021 року</t>
  </si>
  <si>
    <r>
      <t>Додаткові кошти в сумі 60000 грн.</t>
    </r>
    <r>
      <rPr>
        <b/>
        <sz val="12"/>
        <color indexed="8"/>
        <rFont val="Times New Roman"/>
        <family val="1"/>
        <charset val="204"/>
      </rPr>
      <t xml:space="preserve"> на придбання медикаментів (забезпечення безкоштовним пільговим відпуском медикаментів) та продуктів харчування,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</si>
  <si>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рішення № 588 від 13.07.2021 року</t>
  </si>
  <si>
    <r>
      <t>Додаткові кошти в сумі 50000 грн.</t>
    </r>
    <r>
      <rPr>
        <b/>
        <sz val="12"/>
        <color indexed="8"/>
        <rFont val="Times New Roman"/>
        <family val="1"/>
        <charset val="204"/>
      </rPr>
      <t xml:space="preserve"> для проведення поточного ремонту пандусів приміщень ФАП та ФП,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</si>
  <si>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Субвенція обласному бюджету Кіровоградської області в сумі 112376 грн.   на придбання ноутбуків для педагогічних працівників комунальних закладів загальної середньої освіти та їх філій для організації дистанційного навчання на умовах співфінансування з бюджету  Новоукраїнської  міської  територіальної громади в розмірі 10% відповідно  до постанови Кабінету Міністрів України від 21 квітня 2021 р.№ 403 Деякі питання надання субвенції з державного бюджету місцевим бюджетам на заходи, спрямовані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та розпорядження голови ОДА №523-р від 22 липня 2021 рокуКЕКВ 3220, за рахунок  перенесення фінансування з головного розпорядника коштів відділ освіти з КПКВ 0611010 КЕКВ 2230 на головного розпорядника коштів фінансове управління</t>
  </si>
  <si>
    <t xml:space="preserve">29.07.2021        №01-14/459 </t>
  </si>
  <si>
    <t>0611171</t>
  </si>
  <si>
    <r>
      <t xml:space="preserve">Перерозподіл бюджетних призначень в межах виділених річних асигнувань в сумі 99500 грн., перенесення фінансування з КПКВ 0611021 КЕКВ 2230, а саме збільшення фінансування відповідно  до листа Міністрства освіти і науки України від 21 липня 2021 р.№ 1/11-5373, за рахунок </t>
    </r>
    <r>
      <rPr>
        <b/>
        <sz val="12"/>
        <rFont val="Times New Roman"/>
        <family val="1"/>
        <charset val="204"/>
      </rPr>
      <t>співфінансування з бюджету  Новоукраїнської  міської  територіальної громади на реалізацію програми "Спроможна школа для кращих результатів"</t>
    </r>
    <r>
      <rPr>
        <sz val="12"/>
        <rFont val="Times New Roman"/>
        <family val="1"/>
        <charset val="204"/>
      </rPr>
      <t xml:space="preserve"> КЕКВ 3110</t>
    </r>
  </si>
  <si>
    <t>29.07.2021 б/н</t>
  </si>
  <si>
    <t>02.08.2021 №22</t>
  </si>
  <si>
    <t>23.07.2021        №94</t>
  </si>
  <si>
    <t>23.07.2021 №207</t>
  </si>
  <si>
    <r>
      <t xml:space="preserve">Перерозподіл бюджетних призначень в межах виділених річних асигнувань в сумі 99500 грн., перенесення фінансування на КПКВ 0611171 КЕКВ 3110, а саме зменшення фінансування  </t>
    </r>
    <r>
      <rPr>
        <b/>
        <sz val="12"/>
        <rFont val="Times New Roman"/>
        <family val="1"/>
        <charset val="204"/>
      </rPr>
      <t>на харчування дітей ,  у зв'язку з економією коштів по придбанню продуктів харчування при  дистанційній роботі на період карантину та від проведених тендерів</t>
    </r>
    <r>
      <rPr>
        <sz val="12"/>
        <rFont val="Times New Roman"/>
        <family val="1"/>
        <charset val="204"/>
      </rPr>
      <t xml:space="preserve"> КЕКВ 2230</t>
    </r>
  </si>
  <si>
    <t>0611172</t>
  </si>
  <si>
    <t xml:space="preserve">29.07.2021        №01-14/458 </t>
  </si>
  <si>
    <t>22.07.2021     №01-14/453</t>
  </si>
  <si>
    <t>29.07.2021     №01-14/458</t>
  </si>
  <si>
    <t>22.07.2021        №01-14/453</t>
  </si>
  <si>
    <r>
      <t xml:space="preserve">Додаткові кошти  в сумі 895500 грн., а саме відповідно  до постанови Кабінету Міністрів України від 4 квітня 2018 р. N 237 (із змінами) та розпорядження голови ОДА №478-р від 26 червня 2021 року за </t>
    </r>
    <r>
      <rPr>
        <b/>
        <sz val="12"/>
        <rFont val="Times New Roman"/>
        <family val="1"/>
        <charset val="204"/>
      </rPr>
      <t>рахунок субвенції з обласного бюджету на реалізацію програми "Спроможна школа для кращих результатів" за рахунок відповідної субвенції з державного бюджету на закупівлю засобів навчання т а обладнання, сучасних меблів, комп'ютерного обладнання в сумі 494656 грн. КЕКВ 2210, на оплату витрат на відрядження вчителів, асистентів вчителів закладів загальної середньої освіти в сумі 161527 грн. КЕКВ 2250 та  на проведення супервізії в сумі 10658 грн</t>
    </r>
    <r>
      <rPr>
        <sz val="12"/>
        <rFont val="Times New Roman"/>
        <family val="1"/>
        <charset val="204"/>
      </rPr>
      <t>. КЕКВ 2240</t>
    </r>
  </si>
  <si>
    <t>1171</t>
  </si>
  <si>
    <t>1172</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</si>
  <si>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</si>
  <si>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Виконання заходів в рамках реалізації програми "Спроможна школа для кращих результатів" за рахунок субвенції з державного бюджету місцевим бюджетам</t>
  </si>
  <si>
    <t>Субвенція з місцевого бюджету на реалізацію програми "Спроможна школа для кращих результатів" за рахунок відповідної субвенції з державного бюджету</t>
  </si>
  <si>
    <t>для проведення поточного ремонту пандусів приміщень ФАП та ФП</t>
  </si>
  <si>
    <r>
      <t xml:space="preserve">Перерозподіл бюджетних призначень в межах виділених річних асигнувань в сумі 45635 грн., перенесення фінансування на КПКВ 0611010 КЕКВ 2275, а саме зменшення фінансування  </t>
    </r>
    <r>
      <rPr>
        <b/>
        <sz val="12"/>
        <rFont val="Times New Roman"/>
        <family val="1"/>
        <charset val="204"/>
      </rPr>
      <t>на харчування дітей загальноосвітніх  навчальних закладів громади,  у зв'язку з економією коштів по придбанню продуктів харчування при  дистанційній роботі на період карантину та від проведених тендерів</t>
    </r>
    <r>
      <rPr>
        <sz val="12"/>
        <rFont val="Times New Roman"/>
        <family val="1"/>
        <charset val="204"/>
      </rPr>
      <t xml:space="preserve"> КЕКВ 2230</t>
    </r>
  </si>
  <si>
    <r>
      <t xml:space="preserve">Перерозподіл бюджетних призначень в межах виділених річних асигнувань в сумі 60000 грн., перенесення фінансування на КПКВ 0611010 КЕКВ 2275, а саме зменшення фінансування  </t>
    </r>
    <r>
      <rPr>
        <b/>
        <sz val="12"/>
        <rFont val="Times New Roman"/>
        <family val="1"/>
        <charset val="204"/>
      </rPr>
      <t>на харчування дітей  комунальних ДНЗ громади,  у зв'язку з економією коштів по придбанню продуктів харчування від проведених тендерів</t>
    </r>
    <r>
      <rPr>
        <sz val="12"/>
        <rFont val="Times New Roman"/>
        <family val="1"/>
        <charset val="204"/>
      </rPr>
      <t xml:space="preserve"> КЕКВ 2230</t>
    </r>
  </si>
  <si>
    <r>
      <t xml:space="preserve">Перерозподіл бюджетних призначень в межах виділених річних асигнувань в сумі 105635 грн., перенесення фінансування  з  КПКВ 0611010 КЕКВ 2230 в сумі 60000 грн., КПКВ 0611021 КЕКВ 2230 в сумі 45635 грн.,  збільшення фінансування </t>
    </r>
    <r>
      <rPr>
        <b/>
        <sz val="12"/>
        <color indexed="8"/>
        <rFont val="Times New Roman"/>
        <family val="1"/>
        <charset val="204"/>
      </rPr>
      <t>на придбання вугілля пелетів для комунальних ДНЗ громади КЕКВ 2275</t>
    </r>
  </si>
  <si>
    <t xml:space="preserve">02.08.2021        №01-14/461 </t>
  </si>
  <si>
    <t>Перерозподіл бюджетних призначень в межах виділених річних асигнувань в сумі 10000 грн., перенесення фінансування на КПКВ 0611141 КЕКВ 2210 в сумі 3000 грн.,  КЕКВ 2240 в сумі 5000 грн. та КЕКВ 2800 в сумі 2000 грн., а саме зменшення фінансування  на підвезення дітей,  у зв'язку з економією коштів  КЕКВ 2240</t>
  </si>
  <si>
    <t>ДБ інсулін</t>
  </si>
  <si>
    <t>рн томограф</t>
  </si>
  <si>
    <r>
      <t xml:space="preserve">Перерозподіл бюджетних призначень в межах виділених річних асигнувань в сумі 51000 грн., перенесення фінансування   на КПКВ 0116030 КЕКВ 2273,  а саме </t>
    </r>
    <r>
      <rPr>
        <b/>
        <sz val="12"/>
        <color theme="1"/>
        <rFont val="Times New Roman"/>
        <family val="1"/>
        <charset val="204"/>
      </rPr>
      <t>зменшення фінансування  для оплати електроенергії</t>
    </r>
    <r>
      <rPr>
        <sz val="12"/>
        <color theme="1"/>
        <rFont val="Times New Roman"/>
        <family val="1"/>
        <charset val="204"/>
      </rPr>
      <t xml:space="preserve">   КЕКВ 2240</t>
    </r>
  </si>
  <si>
    <t>30.07.2021        №216/01-20</t>
  </si>
  <si>
    <t>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на КПКВ 0116030 КЕКВ 2240, а саме зменшення фінансування на КЕКВ 2730</t>
  </si>
  <si>
    <t>04.08.2021 б/н</t>
  </si>
  <si>
    <t xml:space="preserve">04.08.2021  б/н </t>
  </si>
  <si>
    <r>
      <t xml:space="preserve">Перерозподіл бюджетних призначень в межах виділених річних асигнувань в сумі 97363,42 грн., перенесення фінансування   на КПКВ 0118340 КЕКВ 2240,  а </t>
    </r>
    <r>
      <rPr>
        <b/>
        <sz val="12"/>
        <color theme="1"/>
        <rFont val="Times New Roman"/>
        <family val="1"/>
        <charset val="204"/>
      </rPr>
      <t>саме зменшення фінансування  з Придбання обладнання для збору побутових відходів (контейнерів (п.68), відповідно до  статті  19   Закону   України   "Про  охорону навколишнього природного середовища" та постанови Кабінету Міністрів України від 07.05.1998 року № 634 "Про затвердження Положення про Державний фонд охорони навколишнього природного середовища" та від 17.09.1996 року № 1147 "Про затвердження переліку видів діяльності, що належать до природоохоронних заходів",</t>
    </r>
    <r>
      <rPr>
        <sz val="12"/>
        <color theme="1"/>
        <rFont val="Times New Roman"/>
        <family val="1"/>
        <charset val="204"/>
      </rPr>
      <t xml:space="preserve"> за рахунок  фонду охорони навколишнього  природного середовища КЕКВ 2210</t>
    </r>
  </si>
  <si>
    <r>
      <t xml:space="preserve">Перерозподіл бюджетних призначень в межах виділених річних асигнувань в сумі 97363,42 грн., перенесення фінансування   з КПКВ 0118340 КЕКВ 2210,  а </t>
    </r>
    <r>
      <rPr>
        <b/>
        <sz val="12"/>
        <color theme="1"/>
        <rFont val="Times New Roman"/>
        <family val="1"/>
        <charset val="204"/>
      </rPr>
      <t xml:space="preserve">саме збільшення фінансування  на Рекультивація територій полігонів твердих побутових відходів (п.27-1), відповідно до  статті  19   Закону   України   "Про  охорону навколишнього природного середовища" та постанови Кабінету Міністрів України від 07.05.1998 року № 634 "Про затвердження Положення про Державний фонд охорони навколишнього природного середовища" та від 17.09.1996 року № 1147 "Про затвердження переліку видів діяльності, що належать до природоохоронних заходів", </t>
    </r>
    <r>
      <rPr>
        <sz val="12"/>
        <color theme="1"/>
        <rFont val="Times New Roman"/>
        <family val="1"/>
        <charset val="204"/>
      </rPr>
      <t xml:space="preserve"> за рахунок  фонду охорони навколишнього  природного середовища КЕКВ 2240</t>
    </r>
  </si>
  <si>
    <r>
      <t xml:space="preserve">Перерозподіл бюджетних призначень в межах виділених річних асигнувань в сумі 24500 грн., перенесення фінансування з  КЕКВ 2240, а саме зменшення фінансування </t>
    </r>
    <r>
      <rPr>
        <b/>
        <sz val="12"/>
        <color indexed="8"/>
        <rFont val="Times New Roman"/>
        <family val="1"/>
        <charset val="204"/>
      </rPr>
      <t xml:space="preserve">на  оздоровлення та відпочинок дітей, яке не відбулося внаслідок карантину </t>
    </r>
    <r>
      <rPr>
        <sz val="12"/>
        <color indexed="8"/>
        <rFont val="Times New Roman"/>
        <family val="1"/>
        <charset val="204"/>
      </rPr>
      <t>КЕКВ 2240, у зв'язку з економією коштів по спортивній школі</t>
    </r>
  </si>
  <si>
    <r>
      <t xml:space="preserve">Перерозподіл бюджетних призначень в межах виділених річних асигнувань в сумі 24500 грн., перенесення фінансування на КЕКВ 2240, а саме збільшення фінансування </t>
    </r>
    <r>
      <rPr>
        <b/>
        <sz val="12"/>
        <color indexed="8"/>
        <rFont val="Times New Roman"/>
        <family val="1"/>
        <charset val="204"/>
      </rPr>
      <t>на оплату проїзду учасників змагань та послуг з покосу трави</t>
    </r>
    <r>
      <rPr>
        <sz val="12"/>
        <color indexed="8"/>
        <rFont val="Times New Roman"/>
        <family val="1"/>
        <charset val="204"/>
      </rPr>
      <t xml:space="preserve">  КЕКВ 2240 по спортивній школі</t>
    </r>
  </si>
  <si>
    <r>
      <t xml:space="preserve">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з КПКВ 0813140 КЕКВ 2730, а саме збільшення фінансування на </t>
    </r>
    <r>
      <rPr>
        <b/>
        <sz val="12"/>
        <color theme="1"/>
        <rFont val="Times New Roman"/>
        <family val="1"/>
        <charset val="204"/>
      </rPr>
      <t>оплату послуг з благоустрою</t>
    </r>
    <r>
      <rPr>
        <sz val="12"/>
        <color theme="1"/>
        <rFont val="Times New Roman"/>
        <family val="1"/>
        <charset val="204"/>
      </rPr>
      <t xml:space="preserve"> в сумі 160000 грн. КЕКВ 2240 та </t>
    </r>
    <r>
      <rPr>
        <b/>
        <sz val="12"/>
        <color theme="1"/>
        <rFont val="Times New Roman"/>
        <family val="1"/>
        <charset val="204"/>
      </rPr>
      <t xml:space="preserve">придбання комплектуючих до контейнерів (коліс) для твердих побутових відходів </t>
    </r>
    <r>
      <rPr>
        <sz val="12"/>
        <color theme="1"/>
        <rFont val="Times New Roman"/>
        <family val="1"/>
        <charset val="204"/>
      </rPr>
      <t>в сумі 35000 грн. КЕКВ 2210</t>
    </r>
  </si>
  <si>
    <r>
      <t xml:space="preserve"> Перерозподіл бюджетних призначень в межах виділених річних асигнувань в сумі  40624 грн., перенесення фінансування   з КПКВ 1014060  КЕКВ 2111 в сумі 33298 грн. та КЕКВ 2120 в сумі 7326 грн. , а саме збільшення фінансування на виплату заробітної плати  в сумі 33298 грн. КЕКВ 2111, нарахування на заробітну плату в сумі 7326 грн. КЕКВ 2120, </t>
    </r>
    <r>
      <rPr>
        <b/>
        <sz val="12"/>
        <rFont val="Times New Roman"/>
        <family val="1"/>
        <charset val="204"/>
      </rPr>
      <t>у зв'язку з введенням у штатний розпис краєзнавчого музею посади організатора екскурсі</t>
    </r>
    <r>
      <rPr>
        <sz val="12"/>
        <rFont val="Times New Roman"/>
        <family val="1"/>
        <charset val="204"/>
      </rPr>
      <t>й</t>
    </r>
  </si>
  <si>
    <r>
      <t>Перерозподіл бюджетних призначень в межах виділених річних асигнувань в сумі 40624 грн., перенесення фінансування на КПКВ 4040 в сумі 33298 грн. КЕКВ 2111 та в сумі 7326 грн. КЕКВ 2120, а саме зменшення фінансування  для  виплати заробітної плати вакантної посади бібліографа  в сумі 33298 грн. КЕКВ 2111 та  на нарахування на заробітну плату  в сумі 7326 грн.  КЕКВ 2120,  в зв'язку із виведенням</t>
    </r>
    <r>
      <rPr>
        <b/>
        <sz val="12"/>
        <color indexed="8"/>
        <rFont val="Times New Roman"/>
        <family val="1"/>
        <charset val="204"/>
      </rPr>
      <t xml:space="preserve"> з штатного розпису МПК "Ювілейний" посади акомпоніатора</t>
    </r>
  </si>
  <si>
    <r>
      <t xml:space="preserve">Перерозподіл бюджетних призначень в межах виділених річних асигнувань в сумі 1150 грн., перенесення фінансування з КПКВ 1010160 КЕКВ 2282, а саме збільшення фінансування  </t>
    </r>
    <r>
      <rPr>
        <b/>
        <sz val="12"/>
        <rFont val="Times New Roman"/>
        <family val="1"/>
        <charset val="204"/>
      </rPr>
      <t>для проходження навчання уповноваженої особи із закупівель</t>
    </r>
    <r>
      <rPr>
        <sz val="12"/>
        <rFont val="Times New Roman"/>
        <family val="1"/>
        <charset val="204"/>
      </rPr>
      <t xml:space="preserve"> КЕКВ 2282</t>
    </r>
  </si>
  <si>
    <t>рішення 588 від 13.07.2021 року</t>
  </si>
  <si>
    <r>
      <t>Додаткові кошти в сумі 18300 грн.</t>
    </r>
    <r>
      <rPr>
        <b/>
        <sz val="12"/>
        <color indexed="8"/>
        <rFont val="Times New Roman"/>
        <family val="1"/>
        <charset val="204"/>
      </rPr>
      <t xml:space="preserve"> на  оплату праці з нарахуванням найманим працівникам, співфінансування за рахунок субвенції з бюджету Ганнівської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</si>
  <si>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27750 грн., перенесення фінансування з КПКВ 0117461  КЕКВ 2240, а саме збільшення фінансування,   </t>
    </r>
    <r>
      <rPr>
        <b/>
        <sz val="12"/>
        <color indexed="8"/>
        <rFont val="Times New Roman"/>
        <family val="1"/>
        <charset val="204"/>
      </rPr>
      <t>відповідно до клопотання Новоукраїнського ЖКП,</t>
    </r>
    <r>
      <rPr>
        <sz val="12"/>
        <color indexed="8"/>
        <rFont val="Times New Roman"/>
        <family val="1"/>
        <charset val="204"/>
      </rPr>
      <t xml:space="preserve"> </t>
    </r>
    <r>
      <rPr>
        <b/>
        <sz val="12"/>
        <color indexed="8"/>
        <rFont val="Times New Roman"/>
        <family val="1"/>
        <charset val="204"/>
      </rPr>
      <t>для оплати послуг з консультування та розрахунку економічно- обґрунтованих витрат за послугу централізованого водовідведення</t>
    </r>
    <r>
      <rPr>
        <sz val="12"/>
        <color indexed="8"/>
        <rFont val="Times New Roman"/>
        <family val="1"/>
        <charset val="204"/>
      </rPr>
      <t xml:space="preserve"> КЕКВ 2610 </t>
    </r>
  </si>
  <si>
    <r>
      <t xml:space="preserve">Перерозподіл бюджетних призначень в межах виділених річних асигнувань в сумі 53265 грн., перенесення фінансування з КПКВ 0117461 КЕКВ 2240, збільшення фінансування на </t>
    </r>
    <r>
      <rPr>
        <b/>
        <sz val="12"/>
        <color indexed="8"/>
        <rFont val="Times New Roman"/>
        <family val="1"/>
        <charset val="204"/>
      </rPr>
      <t xml:space="preserve">придбання запасних частин для забезпечення роботи комунальних транспортних засобів </t>
    </r>
    <r>
      <rPr>
        <sz val="12"/>
        <color indexed="8"/>
        <rFont val="Times New Roman"/>
        <family val="1"/>
        <charset val="204"/>
      </rPr>
      <t xml:space="preserve"> КЕКВ 2210</t>
    </r>
  </si>
  <si>
    <r>
      <t xml:space="preserve">Перерозподіл бюджетних призначень в межах виділених річних асигнувань в сумі  322015 грн.,  перенесення фінансування  на КПКВ 0116013 КЕКВ 2610 в сумі 87750 грн., КПКВ 0116020 КЕКВ 2610 в сумі 181000 грн.,  КПКВ 0116030 КЕКВ 2210 в сумі 53265 грн., </t>
    </r>
    <r>
      <rPr>
        <b/>
        <sz val="12"/>
        <color indexed="8"/>
        <rFont val="Times New Roman"/>
        <family val="1"/>
        <charset val="204"/>
      </rPr>
      <t>зменшення фінансування на  поточний ремонт доріг</t>
    </r>
    <r>
      <rPr>
        <sz val="12"/>
        <color indexed="8"/>
        <rFont val="Times New Roman"/>
        <family val="1"/>
        <charset val="204"/>
      </rPr>
      <t xml:space="preserve"> КЕКВ 2240</t>
    </r>
  </si>
  <si>
    <r>
      <t xml:space="preserve">Перерозподіл бюджетних призначень в межах виділених річних асигнувань в сумі 112376 грн., перенесення фінансування на КПКВ 3719770 КЕКВ 3220, а саме зменшення фінансування  </t>
    </r>
    <r>
      <rPr>
        <b/>
        <sz val="12"/>
        <rFont val="Times New Roman"/>
        <family val="1"/>
        <charset val="204"/>
      </rPr>
      <t>на харчування дітей комунальних ДНЗ громади,  у зв'язку з економією коштів по придбанню продуктів харчування від проведених тендерів</t>
    </r>
    <r>
      <rPr>
        <sz val="12"/>
        <rFont val="Times New Roman"/>
        <family val="1"/>
        <charset val="204"/>
      </rPr>
      <t xml:space="preserve"> КЕКВ 2230</t>
    </r>
  </si>
  <si>
    <r>
      <t xml:space="preserve">Перерозподіл бюджетних призначень в межах виділених річних асигнувань в сумі 200000 грн., перенесення фінансування з КПКВ 08120110 КЕКВ 2610, збільшення фінансування  </t>
    </r>
    <r>
      <rPr>
        <b/>
        <sz val="12"/>
        <color indexed="8"/>
        <rFont val="Times New Roman"/>
        <family val="1"/>
        <charset val="204"/>
      </rPr>
      <t xml:space="preserve"> на  оплату праці з нарахуванням завідувачів та молодшого медичного персоналу ФАПів, що обслуговують сільське населення,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</si>
  <si>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50000 грн., перенесення фінансування з КПКВ 08120110 КЕКВ 2610, збільшення фінансування   </t>
    </r>
    <r>
      <rPr>
        <b/>
        <sz val="12"/>
        <color indexed="8"/>
        <rFont val="Times New Roman"/>
        <family val="1"/>
        <charset val="204"/>
      </rPr>
      <t xml:space="preserve">для проведення поточного ремонту пандусів приміщень ФАП та ФП, співфінансування за рахунок субвенції з бюджету Глодоської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</si>
  <si>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150000 грн., перенесення фінансування з КПКВ 08120110 КЕКВ 2610, збільшення фінансування   </t>
    </r>
    <r>
      <rPr>
        <b/>
        <sz val="12"/>
        <color indexed="8"/>
        <rFont val="Times New Roman"/>
        <family val="1"/>
        <charset val="204"/>
      </rPr>
      <t xml:space="preserve">на  оплату комунальних послуг та енергоносіїв,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</si>
  <si>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400000 грн., перенесення фінансування на КПКВ 08120111 КЕКВ 2610, зменшення фінансування  </t>
    </r>
    <r>
      <rPr>
        <b/>
        <sz val="12"/>
        <color indexed="8"/>
        <rFont val="Times New Roman"/>
        <family val="1"/>
        <charset val="204"/>
      </rPr>
      <t>на оплату комунальних послуг та енергоносії, як співфінансування за рахунок субвенції з бюджету Рівнянської сільської територіальної громади з КНП "Новоукраїнська  міська лікарня"</t>
    </r>
    <r>
      <rPr>
        <sz val="12"/>
        <color indexed="8"/>
        <rFont val="Times New Roman"/>
        <family val="1"/>
        <charset val="204"/>
      </rPr>
      <t xml:space="preserve"> Новоукраїнської міської ради  на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</si>
  <si>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 xml:space="preserve"> Перерозподіл бюджетних призначень в межах виділених річних асигнувань в сумі  5700 грн., перенесення фінансування   на КПКВ 0813104 КЕКВ 2240,   а саме зменшення фінансування на оплату послуг крім комунальних  КЕКВ 2240</t>
  </si>
  <si>
    <t>Рішення міської ради № 22 від 01.12.2020 року</t>
  </si>
  <si>
    <t>Рішення міської ради № 78  від 26.01.2021 року</t>
  </si>
  <si>
    <t xml:space="preserve">27.08.2021        №01-14/491 </t>
  </si>
  <si>
    <t>0611154</t>
  </si>
  <si>
    <t xml:space="preserve">27.08.2021        №01-14/493 </t>
  </si>
  <si>
    <r>
      <t xml:space="preserve">Перерозподіл бюджетних призначень в межах виділених річних асигнувань в сумі 137580 грн., перенесення фінансування на КПКВ 0617321 КЕКВ 3132, а </t>
    </r>
    <r>
      <rPr>
        <b/>
        <sz val="12"/>
        <color indexed="8"/>
        <rFont val="Times New Roman"/>
        <family val="1"/>
        <charset val="204"/>
      </rPr>
      <t xml:space="preserve">саме зменшення фінансування  на придбання котла опалювального твердопаливного водогрійного для Новоукраїнської загальноосвітньої школи І-ІІІ ступенів №4 Новоукраїнської міської ради </t>
    </r>
    <r>
      <rPr>
        <sz val="12"/>
        <color indexed="8"/>
        <rFont val="Times New Roman"/>
        <family val="1"/>
        <charset val="204"/>
      </rPr>
      <t xml:space="preserve">КЕКВ 3110 
</t>
    </r>
  </si>
  <si>
    <r>
      <t xml:space="preserve">Перерозподіл бюджетних призначень в межах виділених річних асигнувань в сумі 137580 грн., перенесення фінансування з КПКВ 0611021 КЕКВ 3110, а </t>
    </r>
    <r>
      <rPr>
        <b/>
        <sz val="12"/>
        <color indexed="8"/>
        <rFont val="Times New Roman"/>
        <family val="1"/>
        <charset val="204"/>
      </rPr>
      <t xml:space="preserve">саме збільшення фінансування  на реалізацію проекту "Капітальний ремонт  котельні (із заміною котла)  Новоукраїнського ліцею №4 за адресою: вул. Толстого, 7а  м.Новоукраїнка  Кіровоградської області" КЕКВ 3132 </t>
    </r>
    <r>
      <rPr>
        <sz val="12"/>
        <color indexed="8"/>
        <rFont val="Times New Roman"/>
        <family val="1"/>
        <charset val="204"/>
      </rPr>
      <t xml:space="preserve">
</t>
    </r>
  </si>
  <si>
    <t>для виготовлення проекту  на Капітальний ремонт тротуару по вул. Лобановського від Новоукраїнського НВК №8 "Ліцей - заклад дошкільної освіти  до вул. Короленка</t>
  </si>
  <si>
    <t>20.08.2021 №43/02.01-25</t>
  </si>
  <si>
    <t>Офіційний висновок</t>
  </si>
  <si>
    <t>про перевиконання дохідної частини загального фонду бюджету Новоукраїнської міської територіальної громади                                                              станом на 01.09.2021 року</t>
  </si>
  <si>
    <t>грн.</t>
  </si>
  <si>
    <t>ККД</t>
  </si>
  <si>
    <t>Доходи</t>
  </si>
  <si>
    <t>Поч.річн. план</t>
  </si>
  <si>
    <t>Уточнений план на 2021 рік</t>
  </si>
  <si>
    <t xml:space="preserve"> Уточнений план на січень-серпень 2021 року</t>
  </si>
  <si>
    <t>Фактичні надходження за січень-серпень 2021 року</t>
  </si>
  <si>
    <t>+/-</t>
  </si>
  <si>
    <t>% викон.</t>
  </si>
  <si>
    <t>11010600</t>
  </si>
  <si>
    <t>Фіксований податок на доходи фізичних осіб від зайняття підприємницькою діяльністю, нарахований до 1 січня 2012 року</t>
  </si>
  <si>
    <t>11020000</t>
  </si>
  <si>
    <t>11020200</t>
  </si>
  <si>
    <t>13000000</t>
  </si>
  <si>
    <t>13010000</t>
  </si>
  <si>
    <t>13010100</t>
  </si>
  <si>
    <t>Рентна плата за спеціальне використання лісових ресурсів в частині деревини, заготовленої в порядку рубок головного користування </t>
  </si>
  <si>
    <t>13010200</t>
  </si>
  <si>
    <t>13030000</t>
  </si>
  <si>
    <t>Рентна плата за користування надрами загальнодержавного значення</t>
  </si>
  <si>
    <t>13030100</t>
  </si>
  <si>
    <t>Рентна плата за користування надрами для видобування інших корисних копалин загальнодержавного значення</t>
  </si>
  <si>
    <t>Акцизний податок з вироблених в Україні підакцизних товарів (продукції) </t>
  </si>
  <si>
    <t>Акцизний податок з реалізації суб`єктами господарювання роздрібної торгівлі підакцизних товарів </t>
  </si>
  <si>
    <t>Місцеві податки та збори, що сплачуються (перераховуються) згідно з Податковим кодексом України</t>
  </si>
  <si>
    <t>Податок на майно </t>
  </si>
  <si>
    <t>Податок на нерухоме майно, відмінне від земельної ділянки, сплачений юридичними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</si>
  <si>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</si>
  <si>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нежитлової нерухомості </t>
  </si>
  <si>
    <t>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</si>
  <si>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 </t>
  </si>
  <si>
    <t>Орендна плата з юридичних осіб </t>
  </si>
  <si>
    <t>Земельний податок з фізичних осіб </t>
  </si>
  <si>
    <t>Орендна плата з фізичних осіб </t>
  </si>
  <si>
    <t>Транспортний податок з фізичних осіб </t>
  </si>
  <si>
    <t>Транспортний податок з юридичних осіб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</si>
  <si>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</si>
  <si>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Адміністративні штрафи та штрафні санкції за порушення законодавства у сфері виробництва та обігу алкогольних напоїв та тютюнових виробів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</si>
  <si>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</si>
  <si>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</si>
  <si>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22090400</t>
  </si>
  <si>
    <t>Державне мито, пов`язане з видачею та оформленням закордонних паспортів (посвідок) та паспортів громадян України  </t>
  </si>
  <si>
    <t>24000000</t>
  </si>
  <si>
    <t>Інші неподаткові надходження  </t>
  </si>
  <si>
    <t>24060000</t>
  </si>
  <si>
    <t>24060300</t>
  </si>
  <si>
    <t>24062200</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</si>
  <si>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t>
  </si>
  <si>
    <t xml:space="preserve">Усього ( без урахування трансфертів) </t>
  </si>
  <si>
    <t>Начальник фінансового управління Новоукраїнської міської ради</t>
  </si>
  <si>
    <t>Колпак А.П.</t>
  </si>
  <si>
    <t>дод дотація</t>
  </si>
  <si>
    <r>
      <t xml:space="preserve">Перерозподіл бюджетних призначень в межах виділених річних асигнувань  сумі 102980 грн., збільшення фінансування </t>
    </r>
    <r>
      <rPr>
        <b/>
        <sz val="12"/>
        <color indexed="8"/>
        <rFont val="Times New Roman"/>
        <family val="1"/>
        <charset val="204"/>
      </rPr>
      <t xml:space="preserve"> на придбання предметів, матеріалів та послуг по введенню в дію комп"ютерного томографа  за рахунок субвенції з бюджету Новоукраїнського району  для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для утримання пологового відділення КНП "Новоукраїнська  районна лікарня" Новоукраїнської районної ради, за рахунок зменшення фінансування на утримання пологового відділення  КЕКВ 2610</t>
    </r>
  </si>
  <si>
    <t>рішення 122 від 26.08.2021 року</t>
  </si>
  <si>
    <t>31.08.2021 №117/01-26</t>
  </si>
  <si>
    <t>28.08.2021 №1106</t>
  </si>
  <si>
    <r>
      <t xml:space="preserve">Перерозподіл бюджетних призначень в межах річних асигнувань  в сумі 40500 грн., виділених рішенням міської ради від 10.08.2021 року  № 397 КНП "Новоукраїнська міська лікарня" Новоукраїнської міської ради із бюджету Новоукраїнської  міської територіальної громади на  виконання Програми розвитку, підтримки комунальних закладів охорони здоров’я та надання медичних послуг у новій редакції для надання населенню медичних послуг понад обсяг, передбачений програмою державних гарантій медичного обслуговування населення для утримання пологового відділення, а саме </t>
    </r>
    <r>
      <rPr>
        <b/>
        <sz val="12"/>
        <color indexed="8"/>
        <rFont val="Times New Roman"/>
        <family val="1"/>
        <charset val="204"/>
      </rPr>
      <t>зменшення фінансування на придбання предметів, матеріалів та послуг по введенню в дію комп"ютерного томографа</t>
    </r>
    <r>
      <rPr>
        <sz val="12"/>
        <color indexed="8"/>
        <rFont val="Times New Roman"/>
        <family val="1"/>
        <charset val="204"/>
      </rPr>
      <t xml:space="preserve">   КЕКВ 2610</t>
    </r>
  </si>
  <si>
    <r>
      <t xml:space="preserve">Перерозподіл бюджетних призначень в межах річних асигнувань  в сумі 40500 грн., виділених рішенням міської ради від 10.08.2021 року  № 397 КНП "Новоукраїнська міська лікарня" Новоукраїнської міської ради із бюджету Новоукраїнської  міської територіальної громади на  виконання Програми розвитку, підтримки комунальних закладів охорони здоров’я та надання медичних послуг у новій редакції для надання населенню медичних послуг понад обсяг, передбачений програмою державних гарантій медичного обслуговування населення для утримання пологового відділення, а саме </t>
    </r>
    <r>
      <rPr>
        <b/>
        <sz val="12"/>
        <rFont val="Times New Roman"/>
        <family val="1"/>
        <charset val="204"/>
      </rPr>
      <t>збільшення фінансування на придбання обладнання та матеріалів для підготовки котельні до опалювального сезону</t>
    </r>
    <r>
      <rPr>
        <sz val="12"/>
        <rFont val="Times New Roman"/>
        <family val="1"/>
        <charset val="204"/>
      </rPr>
      <t>, як одержувачу коштів управління соціального захисту та охорони здоров'я  Новоукраїнської міської ради КЕКВ 2610</t>
    </r>
  </si>
  <si>
    <r>
      <t>Додаткові кошти в сумі 80000 грн.</t>
    </r>
    <r>
      <rPr>
        <b/>
        <sz val="12"/>
        <color indexed="8"/>
        <rFont val="Times New Roman"/>
        <family val="1"/>
        <charset val="204"/>
      </rPr>
      <t xml:space="preserve"> на оплату комунальних послуг та енергоносіїв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перевиконання бюджету КЕКВ 2610</t>
    </r>
  </si>
  <si>
    <t>31.08.2021 б/н</t>
  </si>
  <si>
    <t>06.09.2020 б/н</t>
  </si>
  <si>
    <r>
      <t xml:space="preserve">Перерозподіл бюджетних призначень в межах виділених річних асигнувань в сумі 12000 грн., перенесення фінансування з КПКВ 08120111 КЕКВ 2610, збільшення фінансування  </t>
    </r>
    <r>
      <rPr>
        <b/>
        <sz val="12"/>
        <color indexed="8"/>
        <rFont val="Times New Roman"/>
        <family val="1"/>
        <charset val="204"/>
      </rPr>
      <t>на придбання медикаментів (забезпечення безкоштовним пільговим відпуском медикаментів) в сумі 9000 грн., забезпечення безкоштовним дитячим харчуванням дітей грудного віку та другого року життя, які входять до малозабезпечених сімей, в сумі 3000 грн.КНП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</si>
  <si>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t>20.08.2021 б/н</t>
  </si>
  <si>
    <t>сторінка нов.новин</t>
  </si>
  <si>
    <t>06.09.2021 №285/01-69</t>
  </si>
  <si>
    <r>
      <t xml:space="preserve">Додаткові кошти  в сумі 50000 грн. </t>
    </r>
    <r>
      <rPr>
        <b/>
        <sz val="12"/>
        <color indexed="8"/>
        <rFont val="Times New Roman"/>
        <family val="1"/>
        <charset val="204"/>
      </rPr>
      <t>для оплати за відшкодування вугілля використаного на опалення приміщення міської ради</t>
    </r>
    <r>
      <rPr>
        <sz val="12"/>
        <color indexed="8"/>
        <rFont val="Times New Roman"/>
        <family val="1"/>
        <charset val="204"/>
      </rPr>
      <t xml:space="preserve"> КЕКВ 2275,  за рахунок перевиконання дохідної частини загального фонду бюджету Новоукраїнської міської територіальної громади станом на 01.09.2021 року</t>
    </r>
  </si>
  <si>
    <r>
      <t xml:space="preserve">Додаткові кошти  в сумі 30000 грн.  </t>
    </r>
    <r>
      <rPr>
        <b/>
        <sz val="12"/>
        <rFont val="Times New Roman"/>
        <family val="1"/>
        <charset val="204"/>
      </rPr>
      <t xml:space="preserve">для проведення заходів з нагородження громадян Новоукраїнської  міської територіальної  громади </t>
    </r>
    <r>
      <rPr>
        <sz val="12"/>
        <rFont val="Times New Roman"/>
        <family val="1"/>
        <charset val="204"/>
      </rPr>
      <t xml:space="preserve">КЕКВ 2730, за рахунок перевиконання дохідної частини загального фонду бюджету Новоукраїнської міської територіальної громади    станом на 01.09.2021 року </t>
    </r>
  </si>
  <si>
    <r>
      <t xml:space="preserve">Додаткові кошти  в сумі 19910 грн. </t>
    </r>
    <r>
      <rPr>
        <b/>
        <sz val="12"/>
        <rFont val="Times New Roman"/>
        <family val="1"/>
        <charset val="204"/>
      </rPr>
      <t>для закупівлі послуги з організації інших видів вілпочинку та розваг ( вогняне шоу) для відзначення дня міста</t>
    </r>
    <r>
      <rPr>
        <sz val="12"/>
        <rFont val="Times New Roman"/>
        <family val="1"/>
        <charset val="204"/>
      </rPr>
      <t xml:space="preserve">  КЕКВ 2240, за рахунок перевиконання дохідної частини загального фонду бюджету Новоукраїнської міської територіальної громади таном на 01.09.2021 року </t>
    </r>
  </si>
  <si>
    <r>
      <t xml:space="preserve">Додаткові кошти  в сумі 50000 грн. на виплату заробітної плати  в сумі 40984 грн. КЕКВ 2111, нарахування на заробітну плату в сумі 9016 грн. КЕКВ 2120  </t>
    </r>
    <r>
      <rPr>
        <b/>
        <sz val="12"/>
        <rFont val="Times New Roman"/>
        <family val="1"/>
        <charset val="204"/>
      </rPr>
      <t xml:space="preserve">згідно цивільно-правових  договорів  на виконання громадських робіт </t>
    </r>
    <r>
      <rPr>
        <sz val="12"/>
        <rFont val="Times New Roman"/>
        <family val="1"/>
        <charset val="204"/>
      </rPr>
      <t>Новоукраїнської міської об'єднаної територіальної громади</t>
    </r>
  </si>
  <si>
    <t>26.08.2021 №236</t>
  </si>
  <si>
    <t>30.08.2021 б/н</t>
  </si>
  <si>
    <t>01.09.2021 року б/н</t>
  </si>
  <si>
    <r>
      <t xml:space="preserve">Додаткові кошти  в сумі 60000 грн., на фінансування відповідно </t>
    </r>
    <r>
      <rPr>
        <b/>
        <sz val="12"/>
        <color indexed="8"/>
        <rFont val="Times New Roman"/>
        <family val="1"/>
        <charset val="204"/>
      </rPr>
      <t xml:space="preserve">до клопотання  КП "Водокомунгосп" </t>
    </r>
    <r>
      <rPr>
        <sz val="12"/>
        <color indexed="8"/>
        <rFont val="Times New Roman"/>
        <family val="1"/>
        <charset val="204"/>
      </rPr>
      <t xml:space="preserve"> оплати </t>
    </r>
    <r>
      <rPr>
        <b/>
        <sz val="12"/>
        <color indexed="8"/>
        <rFont val="Times New Roman"/>
        <family val="1"/>
        <charset val="204"/>
      </rPr>
      <t xml:space="preserve">електроенергії, </t>
    </r>
    <r>
      <rPr>
        <sz val="12"/>
        <color indexed="8"/>
        <rFont val="Times New Roman"/>
        <family val="1"/>
        <charset val="204"/>
      </rPr>
      <t xml:space="preserve"> як фінансову підтримку одержувачу коштів бюджету  Новоукраїнської  міської територіальної громади  КЕКВ 2610, за рахунок перевиконання дохідної частини загального фонду бюджету Новоукраїнської міської територіальної громади таном на 01.09.2021 року </t>
    </r>
  </si>
  <si>
    <r>
      <t xml:space="preserve">Перерозподіл бюджетних призначень в межах виділених річних асигнувань в сумі  960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t>
    </r>
    <r>
      <rPr>
        <b/>
        <sz val="12"/>
        <color indexed="8"/>
        <rFont val="Times New Roman"/>
        <family val="1"/>
        <charset val="204"/>
      </rPr>
      <t xml:space="preserve"> на  </t>
    </r>
    <r>
      <rPr>
        <sz val="12"/>
        <color indexed="8"/>
        <rFont val="Times New Roman"/>
        <family val="1"/>
        <charset val="204"/>
      </rPr>
      <t xml:space="preserve">КПКВ 0116030 КЕКВ 2240, а саме зменшення фінансування  </t>
    </r>
    <r>
      <rPr>
        <b/>
        <sz val="12"/>
        <color indexed="8"/>
        <rFont val="Times New Roman"/>
        <family val="1"/>
        <charset val="204"/>
      </rPr>
      <t>на оздоровлення та відпочинок дітей</t>
    </r>
    <r>
      <rPr>
        <sz val="12"/>
        <color indexed="8"/>
        <rFont val="Times New Roman"/>
        <family val="1"/>
        <charset val="204"/>
      </rPr>
      <t xml:space="preserve"> КЕКВ 2730, в зв'язку із економією коштів</t>
    </r>
  </si>
  <si>
    <t>29.07.2021        №1748</t>
  </si>
  <si>
    <t>03.09.2021        №1929</t>
  </si>
  <si>
    <t>20.08.2021 №162/04-53</t>
  </si>
  <si>
    <t>06.09.2021 №5406/113-7071</t>
  </si>
  <si>
    <r>
      <t xml:space="preserve">Додаткові кошти  в сумі 169000 грн., </t>
    </r>
    <r>
      <rPr>
        <b/>
        <sz val="12"/>
        <color indexed="8"/>
        <rFont val="Times New Roman"/>
        <family val="1"/>
        <charset val="204"/>
      </rPr>
      <t>відповідно до клопотання Новоукраїнського ЖКП</t>
    </r>
    <r>
      <rPr>
        <sz val="12"/>
        <color indexed="8"/>
        <rFont val="Times New Roman"/>
        <family val="1"/>
        <charset val="204"/>
      </rPr>
      <t xml:space="preserve"> для </t>
    </r>
    <r>
      <rPr>
        <b/>
        <sz val="12"/>
        <color indexed="8"/>
        <rFont val="Times New Roman"/>
        <family val="1"/>
        <charset val="204"/>
      </rPr>
      <t xml:space="preserve">оплати електроенергії в сумі 35000 грн. та  для оплати обов'язкових платежів та податків в сумі 134000 грн., </t>
    </r>
    <r>
      <rPr>
        <sz val="12"/>
        <color indexed="8"/>
        <rFont val="Times New Roman"/>
        <family val="1"/>
        <charset val="204"/>
      </rPr>
      <t xml:space="preserve">як фінансову підтримку одержувачу коштів бюджету  Новоукраїнської  міської територіальної громади КЕКВ 2610, за рахунок перевиконання дохідної частини загального фонду бюджету Новоукраїнської міської територіальної громади таном на 01.09.2021 року </t>
    </r>
  </si>
  <si>
    <r>
      <t>Додаткові кошти в сумі 153000 грн. на</t>
    </r>
    <r>
      <rPr>
        <b/>
        <sz val="12"/>
        <rFont val="Times New Roman"/>
        <family val="1"/>
        <charset val="204"/>
      </rPr>
      <t xml:space="preserve"> придбання меблів та обладнання для створення ЦНАП </t>
    </r>
    <r>
      <rPr>
        <sz val="12"/>
        <rFont val="Times New Roman"/>
        <family val="1"/>
        <charset val="204"/>
      </rPr>
      <t xml:space="preserve">виконавчого комітету   Новоукраїнської міської ради КЕКВ 2210, за рахунок перевиконання дохідної частини загального фонду бюджету Новоукраїнської міської територіальної громади таном на 01.09.2021 року </t>
    </r>
  </si>
  <si>
    <t xml:space="preserve">Субвенція з місцевого бюджету державному бюджету на виконання програм соціально-економічного розвитку регіоні  в сумі 30000 грн. на придбання офісної комп’ютерної техніки, засобів зв’язку, портативних нагрудних відео реєстраторів та іншого обладнання, оргтехніки та встановлення, оновлення існуючої системи відеоспостереження для територіального управління Служби судової охорони у Кіровоградській області  КЕКВ 2620, за рахунок перевиконання дохідної частини загального фонду бюджету Новоукраїнської міської територіальної громади таном на 01.09.2021 року </t>
  </si>
  <si>
    <t xml:space="preserve">Субвенція з бюджету Новоукраїнської  міської територіальної громади державному бюджету на виконання програм соціально-економічного розвитку регіоні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в сумі 10000 грн. на придбання паливно - мастильних матеріалів, на виконання у 2021 році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2018-2025 роки, як установі, що фінансується з державного бюджету КЕКВ 2620, за рахунок перевиконання дохідної частини загального фонду бюджету Новоукраїнської міської територіальної громади таном на 01.09.2021 року </t>
  </si>
  <si>
    <t xml:space="preserve">Субвенція з бюджету Новоукраїнської  міської територіальної громади  державному бюджету на виконання програм соціально-економічного розвитку регіоні для  4 державного пожежно-рятувального загону  ГУ ДСНС України у Кіровоградській області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2021-2023 роки" для придбання форменого одягу особовому складу 4 державного пожежно-рятувального загону в сумі 10000 грн.,  як установі, що фінансується з державного бюджету КЕКВ 2620, за рахунок перевиконання дохідної частини загального фонду бюджету Новоукраїнської міської територіальної громади таном на 01.09.2021 року </t>
  </si>
  <si>
    <r>
      <t>Додаткові кошти в сумі 128000 грн. на</t>
    </r>
    <r>
      <rPr>
        <b/>
        <sz val="12"/>
        <rFont val="Times New Roman"/>
        <family val="1"/>
        <charset val="204"/>
      </rPr>
      <t xml:space="preserve"> придбання меблів та обладнання для створення ЦНАП </t>
    </r>
    <r>
      <rPr>
        <sz val="12"/>
        <rFont val="Times New Roman"/>
        <family val="1"/>
        <charset val="204"/>
      </rPr>
      <t xml:space="preserve">виконавчого комітету   Новоукраїнської міської ради КЕКВ 3110, за рахунок перевиконання дохідної частини загального фонду бюджету Новоукраїнської міської територіальної громади таном на 01.09.2021 року </t>
    </r>
  </si>
  <si>
    <t>1154</t>
  </si>
  <si>
    <t>Забезпечення діяльності інклюзивно-ресурсних центрів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t>
  </si>
  <si>
    <r>
      <t>Додаткові кошти в сумі  5700 грн.</t>
    </r>
    <r>
      <rPr>
        <b/>
        <sz val="12"/>
        <rFont val="Times New Roman"/>
        <family val="1"/>
        <charset val="204"/>
      </rPr>
      <t xml:space="preserve"> на оплату послуг електротехнічної лабораторії приміщення КУ "Центр соціальних послуг" </t>
    </r>
    <r>
      <rPr>
        <sz val="12"/>
        <rFont val="Times New Roman"/>
        <family val="1"/>
        <charset val="204"/>
      </rPr>
      <t xml:space="preserve"> КЕКВ 2240, за рахунок перевиконання дохідної частини загального фонду бюджету Новоукраїнської міської територіальної громади таном на 01.09.2021 року</t>
    </r>
  </si>
  <si>
    <t xml:space="preserve">від  07 вересня 2021 року № 443        </t>
  </si>
  <si>
    <t xml:space="preserve">від  07 вересня 2021 року № 443             </t>
  </si>
  <si>
    <t xml:space="preserve">від  07 вересня 2021 року №  443          </t>
  </si>
  <si>
    <t xml:space="preserve">Додаток  8    
              до рішення Новоукраїнської міської ради  від  07 вересня 2021 року № 443   </t>
  </si>
  <si>
    <t xml:space="preserve">від  07 вересня 2021 року № 443       </t>
  </si>
  <si>
    <t xml:space="preserve">від  07 вересня 2021 року №  443      </t>
  </si>
  <si>
    <t xml:space="preserve">від  07 вересня 2021 року № 443          </t>
  </si>
  <si>
    <r>
      <t xml:space="preserve">Додаткові кошти   в сумі 250000 грн. на </t>
    </r>
    <r>
      <rPr>
        <b/>
        <sz val="12"/>
        <rFont val="Times New Roman"/>
        <family val="1"/>
        <charset val="204"/>
      </rPr>
      <t xml:space="preserve">реалізацію проекту "Капітальний ремонт  котельні (із заміною котла)  Новоукраїнського ліцею №4 </t>
    </r>
    <r>
      <rPr>
        <sz val="12"/>
        <rFont val="Times New Roman"/>
        <family val="1"/>
        <charset val="204"/>
      </rPr>
      <t xml:space="preserve">за адресою: вул. Толстого, 7а  м.Новоукраїнка  Кіровоградської області" КЕКВ 3132, за рахунок перевиконання дохідної частини загального фонду бюджету Новоукраїнської міської територіальної громади таном на 01.09.2021 року </t>
    </r>
  </si>
  <si>
    <r>
      <t xml:space="preserve">Додаткові кошти   в сумі 197081 грн., за рахунок перевиконання на </t>
    </r>
    <r>
      <rPr>
        <b/>
        <sz val="12"/>
        <rFont val="Times New Roman"/>
        <family val="1"/>
        <charset val="204"/>
      </rPr>
      <t xml:space="preserve">реалізацію проекту "Капітальний ремонт  покриття внутрішнього двору  Новоукраїнського ліцею №8 </t>
    </r>
    <r>
      <rPr>
        <sz val="12"/>
        <rFont val="Times New Roman"/>
        <family val="1"/>
        <charset val="204"/>
      </rPr>
      <t xml:space="preserve">за адресою: вул. Павлівська, 14  м.Новоукраїнка  Кіровоградської області" КЕКВ 3132, за рахунок перевиконання дохідної частини загального фонду бюджету Новоукраїнської міської територіальної громади таном на 01.09.2021 року  </t>
    </r>
  </si>
  <si>
    <t>06.09.2021 №1156</t>
  </si>
  <si>
    <r>
      <t xml:space="preserve">Перерозподіл бюджетних призначень в межах річних асигнувань  в сумі 309500 грн., виділених на  виконання Програми розвитку, підтримки комунальних закладів охорони здоров’я та надання медичних послуг у новій редакції для надання населенню медичних послуг понад обсяг, передбачений програмою державних гарантій медичного обслуговування населення, а саме </t>
    </r>
    <r>
      <rPr>
        <b/>
        <sz val="12"/>
        <color indexed="8"/>
        <rFont val="Times New Roman"/>
        <family val="1"/>
        <charset val="204"/>
      </rPr>
      <t>зменшення фінансування на придбання предметів, матеріалів та послуг по введенню в дію комп"ютерного томографа</t>
    </r>
    <r>
      <rPr>
        <sz val="12"/>
        <color indexed="8"/>
        <rFont val="Times New Roman"/>
        <family val="1"/>
        <charset val="204"/>
      </rPr>
      <t xml:space="preserve">  в сумі 62480 грн. та на утримання пологового відділення (оплата праці з нарахуванням) в сумі  247020 грн. КЕКВ 2610</t>
    </r>
  </si>
  <si>
    <r>
      <t xml:space="preserve">Перерозподіл бюджетних призначень в межах річних асигнувань  в сумі 309500 грн., виділених  із бюджету Новоукраїнської  міської територіальної громади на  виконання Програми розвитку, підтримки комунальних закладів охорони здоров’я та надання медичних послуг у новій редакції для надання населенню медичних послуг понад обсяг, передбачений програмою державних гарантій медичного обслуговування населення для утримання пологового відділення, а саме </t>
    </r>
    <r>
      <rPr>
        <b/>
        <sz val="12"/>
        <rFont val="Times New Roman"/>
        <family val="1"/>
        <charset val="204"/>
      </rPr>
      <t>збільшення фінансування на придбання медикаментів</t>
    </r>
    <r>
      <rPr>
        <sz val="12"/>
        <rFont val="Times New Roman"/>
        <family val="1"/>
        <charset val="204"/>
      </rPr>
      <t>,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</si>
  <si>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960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з КПКВ 0813140 КЕКВ 2240,  а саме </t>
    </r>
    <r>
      <rPr>
        <b/>
        <sz val="12"/>
        <color theme="1"/>
        <rFont val="Times New Roman"/>
        <family val="1"/>
        <charset val="204"/>
      </rPr>
      <t xml:space="preserve">збільшення фінансування  на оплату послуг з прибирання снігу </t>
    </r>
    <r>
      <rPr>
        <sz val="12"/>
        <color theme="1"/>
        <rFont val="Times New Roman"/>
        <family val="1"/>
        <charset val="204"/>
      </rPr>
      <t xml:space="preserve"> на території громади КЕКВ 2240</t>
    </r>
  </si>
  <si>
    <r>
      <t xml:space="preserve">Додаткові кошти  в сумі 30000 грн. </t>
    </r>
    <r>
      <rPr>
        <b/>
        <sz val="12"/>
        <color indexed="8"/>
        <rFont val="Times New Roman"/>
        <family val="1"/>
        <charset val="204"/>
      </rPr>
      <t>на оплату послуг на проведення заходів</t>
    </r>
    <r>
      <rPr>
        <sz val="12"/>
        <color indexed="8"/>
        <rFont val="Times New Roman"/>
        <family val="1"/>
        <charset val="204"/>
      </rPr>
      <t xml:space="preserve"> (монтаж та демонтаж новорічних прикрас КЕКВ 2240, за рахунок перевиконання дохідної частини загального фонду бюджету Новоукраїнської міської територіальної громади  станом на 01.09.2021 року </t>
    </r>
  </si>
  <si>
    <t>03.09.2021        №251/01-20</t>
  </si>
  <si>
    <t xml:space="preserve">Додаткові кошти  в сумі 287920 грн. на виплату заробітної плати  в сумі 40300 грн. КЕКВ 2111, нарахування на заробітну плату в сумі 8866 грн. КЕКВ 2120, на оплату послуг за встановлення охороної сигналізації та облаштування котельні в сумі 63863 грн. КЕКВ 2240, на оплату водопостачання в сумі 1000 грн. КЕКВ 2272, на оплату електроенергії в сумі 12000 грн.  КЕКВ 2273, на придбання вугілля та дров, вивіз твердих побутових відходів  в сумі 160291 грн. КЕКВ 2275 та на навчання кочегарів в сумі 1600 грн.  КЕКВ 2282 Новоукраїнської міської об'єднаної територіальної громади, за рахунок перевиконання дохідної частини загального фонду бюджету Новоукраїнської міської територіальної громади таном на 01.09.2021 року </t>
  </si>
  <si>
    <t xml:space="preserve">Додаткові кошти  у сумі 44500 грн.,  за рахунок залишку коштів освітньої субвенції станом на 01.01.2021 року по інклюзивно - ресурсному центру,  а саме  на придбання обладнання для оснащення матеріально - технічної бази інклюзивно - ресурсного центру  КЕКВ 3110, згідно  листа Кіровоградської обласної ради від 07 вересня 2021 року  </t>
  </si>
  <si>
    <r>
      <t xml:space="preserve">Додаткові кошти  у сумі 267752,14 грн.,  за рахунок залишку коштів освітньої субвенції станом на 01.01.2021 року по інклюзивно - ресурсному центру,  а саме  </t>
    </r>
    <r>
      <rPr>
        <b/>
        <sz val="12"/>
        <rFont val="Times New Roman"/>
        <family val="1"/>
        <charset val="204"/>
      </rPr>
      <t>на придбання обладнання для їдальні (харчоблоку) Новоукраїнського ліцею №4</t>
    </r>
    <r>
      <rPr>
        <sz val="12"/>
        <rFont val="Times New Roman"/>
        <family val="1"/>
        <charset val="204"/>
      </rPr>
      <t xml:space="preserve">  КЕКВ 2210 , згідно  листа Кіровоградської обласної ради від 07 вересня 2021 року  </t>
    </r>
  </si>
  <si>
    <r>
      <t xml:space="preserve">Перерозподіл бюджетних призначень в межах виділених річних асигнувань в сумі  20000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освіти, перенесення фінансування   з КПКВ 0117461 КЕКВ 2240, збільшення фінансування на виконання </t>
    </r>
    <r>
      <rPr>
        <b/>
        <sz val="12"/>
        <rFont val="Times New Roman"/>
        <family val="1"/>
        <charset val="204"/>
      </rPr>
      <t xml:space="preserve">поточного ремонту  димової труби в Новоукраїнській загальноосвітній школі І-ІІІ ступенів №4 </t>
    </r>
    <r>
      <rPr>
        <sz val="12"/>
        <rFont val="Times New Roman"/>
        <family val="1"/>
        <charset val="204"/>
      </rPr>
      <t>КЕКВ 2240</t>
    </r>
  </si>
  <si>
    <r>
      <t xml:space="preserve">Перерозподіл бюджетних призначень в межах виділених річних асигнувань в сумі 64745 грн., перенесення фінансування з КПКВ 0611021 КЕКВ 2230, а саме збільшення фінансування  </t>
    </r>
    <r>
      <rPr>
        <b/>
        <sz val="12"/>
        <rFont val="Times New Roman"/>
        <family val="1"/>
        <charset val="204"/>
      </rPr>
      <t xml:space="preserve">на оплату  поточного ремонту покрівель філії Загальноосвітньої школи №3 Новоукраїнської загальноосвітньої школи І-ІІІ ступенів №6 та   Новоукраїнського навчально-виховного комплексу "Загальноосвітня школа І ступеня  з поглибленим вивченням англійської мови- гімназія "Лідер" </t>
    </r>
    <r>
      <rPr>
        <sz val="12"/>
        <rFont val="Times New Roman"/>
        <family val="1"/>
        <charset val="204"/>
      </rPr>
      <t xml:space="preserve">КЕКВ 2240,  </t>
    </r>
    <r>
      <rPr>
        <b/>
        <sz val="12"/>
        <rFont val="Times New Roman"/>
        <family val="1"/>
        <charset val="204"/>
      </rPr>
      <t>у зв'язку з економією коштів по придбанню продуктів харчування при  дистанційній роботі на період карантину та від проведених тендерів.</t>
    </r>
  </si>
  <si>
    <r>
      <t xml:space="preserve">Перерозподіл бюджетних призначень в межах виділених річних асигнувань в сумі 67593 грн., перенесення фінансування з КПКВ 0611070 КЕКВ 2240, а саме збільшення фінансування   в сумі 61455 грн. на оплату  поточного ремонту покрівель філії Загальноосвітньої школи №3 Новоукраїнської загальноосвітньої школи І-ІІІ ступенів №6, </t>
    </r>
    <r>
      <rPr>
        <b/>
        <sz val="12"/>
        <rFont val="Times New Roman"/>
        <family val="1"/>
        <charset val="204"/>
      </rPr>
      <t>для встановлення снігозатримувачів для покрівлі та облаштування системою блискавозахисту будівлі Фурманівського закладу початкової та базової середньої освіти  та для виготовлення енергопаспорту Новоукраїнської загальноосвітньої школи І-ІІІ ступенів №4 КЕКВ 2240,   в сумі 6138 грн. на придбання  будівельних матеріалів для поточних ремонтів</t>
    </r>
    <r>
      <rPr>
        <sz val="12"/>
        <rFont val="Times New Roman"/>
        <family val="1"/>
        <charset val="204"/>
      </rPr>
      <t xml:space="preserve">, </t>
    </r>
    <r>
      <rPr>
        <b/>
        <sz val="12"/>
        <rFont val="Times New Roman"/>
        <family val="1"/>
        <charset val="204"/>
      </rPr>
      <t>у зв'язку з економією коштів по придбанню продуктів харчування при  дистанційній роботі на період карантину та від проведених тендерів</t>
    </r>
    <r>
      <rPr>
        <sz val="12"/>
        <rFont val="Times New Roman"/>
        <family val="1"/>
        <charset val="204"/>
      </rPr>
      <t xml:space="preserve">  КЕКВ 2210</t>
    </r>
  </si>
  <si>
    <r>
      <t xml:space="preserve">Перерозподіл бюджетних призначень в межах виділених річних асигнувань в сумі 67593  грн., перенесення фінансування на КПКВ 0611021 КЕКВ 2210, зменшення фінансування по КЕКВ2240, в </t>
    </r>
    <r>
      <rPr>
        <b/>
        <sz val="12"/>
        <rFont val="Times New Roman"/>
        <family val="1"/>
        <charset val="204"/>
      </rPr>
      <t xml:space="preserve">зв'язку з економією коштів на проведення оздоровлення дітей у літньому таборі на базі центру дитячої та юнацької творчості "Зоріт"  </t>
    </r>
  </si>
  <si>
    <r>
      <t xml:space="preserve">Перерозподіл бюджетних призначень в межах виділених річних асигнувань в сумі 1460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на оплату послуг з </t>
    </r>
    <r>
      <rPr>
        <b/>
        <sz val="12"/>
        <rFont val="Times New Roman"/>
        <family val="1"/>
        <charset val="204"/>
      </rPr>
      <t>перезарядки вогнегасників</t>
    </r>
    <r>
      <rPr>
        <sz val="12"/>
        <rFont val="Times New Roman"/>
        <family val="1"/>
        <charset val="204"/>
      </rPr>
      <t xml:space="preserve">  по центру дитячої та юнацької творчості "Зоріт" КЕКВ 2240 </t>
    </r>
  </si>
  <si>
    <r>
      <t>Перерозподіл бюджетних призначень в межах виділених річних асигнувань в сумі 2482 грн., перенесення фінансування  з головного розпорядника коштів виконавчого комітету Новоукраїнської міської ради на головного розпорядника коштів відділ освіти виконавчого комітету Новоукраїнської міської ради з КПКВ 0117363  КЕКВ 3142,  саме збільшення фінансування на оплату послуг з</t>
    </r>
    <r>
      <rPr>
        <b/>
        <sz val="12"/>
        <rFont val="Times New Roman"/>
        <family val="1"/>
        <charset val="204"/>
      </rPr>
      <t xml:space="preserve"> перезарядки вогнегасників </t>
    </r>
    <r>
      <rPr>
        <sz val="12"/>
        <rFont val="Times New Roman"/>
        <family val="1"/>
        <charset val="204"/>
      </rPr>
      <t xml:space="preserve"> по МНВК  КЕКВ 2240 </t>
    </r>
  </si>
  <si>
    <r>
      <t xml:space="preserve">Перерозподіл бюджетних призначень в межах виділених річних асигнувань в сумі 10000 грн., перенесення фінансування  з  КПКВ 0611142 КЕКВ 2240,  збільшення фінансування </t>
    </r>
    <r>
      <rPr>
        <b/>
        <sz val="12"/>
        <rFont val="Times New Roman"/>
        <family val="1"/>
        <charset val="204"/>
      </rPr>
      <t>на придбання фіранок на вікна для шкільного автобуса КЕКВ 2210 в сумі 3000 грн., на оплату послуг КЕКВ 2240 в сумі 5000 грн. та оплату послуг з реєстрації шкільного автобуса КЕКВ 2800 в сумі 2000 грн.</t>
    </r>
  </si>
  <si>
    <r>
      <t xml:space="preserve">Додаткові кошти  у сумі 94100 грн.,  за рахунок залишку коштів освітньої субвенції станом на 01.01.2021 року по інклюзивно - ресурсному центру,  а саме  на </t>
    </r>
    <r>
      <rPr>
        <b/>
        <sz val="12"/>
        <rFont val="Times New Roman"/>
        <family val="1"/>
        <charset val="204"/>
      </rPr>
      <t>виплату заробітної плати</t>
    </r>
    <r>
      <rPr>
        <sz val="12"/>
        <rFont val="Times New Roman"/>
        <family val="1"/>
        <charset val="204"/>
      </rPr>
      <t xml:space="preserve">  в сумі 64000 грн. КЕКВ 2111 та </t>
    </r>
    <r>
      <rPr>
        <b/>
        <sz val="12"/>
        <rFont val="Times New Roman"/>
        <family val="1"/>
        <charset val="204"/>
      </rPr>
      <t>нарахування на заробітну плату</t>
    </r>
    <r>
      <rPr>
        <sz val="12"/>
        <rFont val="Times New Roman"/>
        <family val="1"/>
        <charset val="204"/>
      </rPr>
      <t xml:space="preserve"> в сумі 24600 грн. КЕКВ 2120 та </t>
    </r>
    <r>
      <rPr>
        <b/>
        <sz val="12"/>
        <rFont val="Times New Roman"/>
        <family val="1"/>
        <charset val="204"/>
      </rPr>
      <t>придбання обладнання для оснащення матеріально - технічної бази інклюзивно - ресурсного центру</t>
    </r>
    <r>
      <rPr>
        <sz val="12"/>
        <rFont val="Times New Roman"/>
        <family val="1"/>
        <charset val="204"/>
      </rPr>
      <t xml:space="preserve">  в сумі 5500 грн. КЕКВ 2210 , згідно  листа Кіровоградської обласної ради від  07 вересня 2021 року  </t>
    </r>
  </si>
  <si>
    <t xml:space="preserve">Програму місцевих стимулів для медичних працівників Новоукраїнської міської територіальної громади на 2021-2024 роки </t>
  </si>
  <si>
    <t>Рішення міської ради № 390  від 10.08.2021 року</t>
  </si>
  <si>
    <t>Капітальний ремонт  котельні (із заміною котла)  Новоукраїнського ліцею №4 за адресою: вул. Толстого, 7а  м.Новоукраїнка  Кіровоградської області</t>
  </si>
  <si>
    <t>2021</t>
  </si>
  <si>
    <t>Капітальний ремонт  покриття внутрішнього двору  Новоукраїнського ліцею №8 за адресою: вул. Павлівська, 14  м.Новоукраїнка  Кіровоградської області</t>
  </si>
  <si>
    <t>на придбання предметів, матеріалів та послуг по введенню в дію комп"ютерного томографа</t>
  </si>
  <si>
    <r>
      <t xml:space="preserve">Перерозподіл бюджетних призначень в межах виділених річних асигнувань  сумі 24636 грн., збільшення фінансування </t>
    </r>
    <r>
      <rPr>
        <b/>
        <sz val="12"/>
        <color indexed="8"/>
        <rFont val="Times New Roman"/>
        <family val="1"/>
        <charset val="204"/>
      </rPr>
      <t xml:space="preserve"> на виплату стипендій  студентам медичних закладів за рахунок субвенції з бюджету Новоукраїнського району  для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для утримання пологового відділення КНП "Новоукраїнська  районна лікарня" Новоукраїнської районної ради, за рахунок зменшення фінансування на утримання пологового відділення  КЕКВ 2610</t>
    </r>
  </si>
  <si>
    <r>
      <t xml:space="preserve">Перерозподіл бюджетних призначень в межах виділених річних асигнувань  сумі 24636 грн., збільшення фінансування </t>
    </r>
    <r>
      <rPr>
        <b/>
        <sz val="12"/>
        <color indexed="8"/>
        <rFont val="Times New Roman"/>
        <family val="1"/>
        <charset val="204"/>
      </rPr>
      <t xml:space="preserve"> нна виплату стипендій  студентам медичних закладів  за рахунок субвенції з бюджету Новоукраїнського району  для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для утримання пологового відділення КНП "Новоукраїнська  районна лікарня" Новоукраїнської районної ради, за рахунок зменшення фінансування на утримання пологового відділення  КЕКВ 2610</t>
    </r>
  </si>
  <si>
    <t>на виплату стипендій  студентам медичних закладів</t>
  </si>
  <si>
    <t>Субвенція з місцевого бюджету державному бюджету на виконання програм соціально-економічного розвитку регіоні  на фінансову підтримку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на придбання паливно - мастильних матеріалів</t>
  </si>
  <si>
    <t xml:space="preserve">Субвенція з місцевого бюджету державному бюджету на виконання програм соціально-економічного розвитку регіоні на фінансову підтримку для придбання форменого одягу особовому складу 4 державного пожежно-рятувального загону  УДСНС України у Кіровоградській області </t>
  </si>
  <si>
    <t xml:space="preserve">Субвенція з місцевого бюджету державному бюджету на виконання програм соціально-економічного розвитку регіоні на фінансову підтримку для придбання офісної комп’ютерної техніки, засобів зв’язку, портативних нагрудних відео реєстраторів та іншого обладнання, оргтехніки та встановлення, оновлення існуючої системи відеоспостереження для територіального управління Служби судової охорони у Кіровоградській області  </t>
  </si>
  <si>
    <t>Додаток 9</t>
  </si>
  <si>
    <r>
      <t xml:space="preserve">Додаткові кошти  за в сумі 49000 грн., </t>
    </r>
    <r>
      <rPr>
        <b/>
        <sz val="12"/>
        <color indexed="8"/>
        <rFont val="Times New Roman"/>
        <family val="1"/>
        <charset val="204"/>
      </rPr>
      <t>на оплату послуг з вивезення сміття на території громади</t>
    </r>
    <r>
      <rPr>
        <sz val="12"/>
        <color indexed="8"/>
        <rFont val="Times New Roman"/>
        <family val="1"/>
        <charset val="204"/>
      </rPr>
      <t xml:space="preserve">  КЕКВ 2240, за рахунок перевиконання дохідної частини загального фонду бюджету Новоукраїнської міської територіальної громади таном на 01.09.2021 року  </t>
    </r>
  </si>
  <si>
    <r>
      <t xml:space="preserve">Додаткові кошти в сумі 49000 грн.,  на </t>
    </r>
    <r>
      <rPr>
        <b/>
        <sz val="12"/>
        <color indexed="8"/>
        <rFont val="Times New Roman"/>
        <family val="1"/>
        <charset val="204"/>
      </rPr>
      <t xml:space="preserve">оплату послуг з ремонту відвалів для снігоприбиральної техніки </t>
    </r>
    <r>
      <rPr>
        <sz val="12"/>
        <color indexed="8"/>
        <rFont val="Times New Roman"/>
        <family val="1"/>
        <charset val="204"/>
      </rPr>
      <t xml:space="preserve">КЕКВ 2240, за рахунок перевиконання дохідної частини загального фонду бюджету Новоукраїнської міської територіальної громади таном на 01.09.2021 року </t>
    </r>
  </si>
  <si>
    <r>
      <t xml:space="preserve">Додаткові кошти </t>
    </r>
    <r>
      <rPr>
        <b/>
        <sz val="12"/>
        <rFont val="Times New Roman"/>
        <family val="1"/>
        <charset val="204"/>
      </rPr>
      <t xml:space="preserve"> в сумі 2250089 грн. на поточний ремонт дорожнього покриття </t>
    </r>
    <r>
      <rPr>
        <sz val="12"/>
        <rFont val="Times New Roman"/>
        <family val="1"/>
        <charset val="204"/>
      </rPr>
      <t>КЕКВ 2240, за рахунок перевиконання дохідної частини загального фонду бюджету Новоукраїнської міської територіальної громади таном на 01.09.2021 року</t>
    </r>
  </si>
  <si>
    <r>
      <t xml:space="preserve">Додаткові кошти в сумі 49000 грн.,  на </t>
    </r>
    <r>
      <rPr>
        <b/>
        <sz val="12"/>
        <color indexed="8"/>
        <rFont val="Times New Roman"/>
        <family val="1"/>
        <charset val="204"/>
      </rPr>
      <t xml:space="preserve">оплату послуг з прибирання льоду на території громади </t>
    </r>
    <r>
      <rPr>
        <sz val="12"/>
        <color indexed="8"/>
        <rFont val="Times New Roman"/>
        <family val="1"/>
        <charset val="204"/>
      </rPr>
      <t xml:space="preserve">КЕКВ 2240, за рахунок перевиконання дохідної частини загального фонду бюджету Новоукраїнської міської територіальної громади таном на 01.09.2021 року </t>
    </r>
  </si>
  <si>
    <r>
      <t xml:space="preserve">Додаткові кошти в сумі 48000 грн.,  на </t>
    </r>
    <r>
      <rPr>
        <b/>
        <sz val="12"/>
        <color indexed="8"/>
        <rFont val="Times New Roman"/>
        <family val="1"/>
        <charset val="204"/>
      </rPr>
      <t xml:space="preserve">оплату послуг з прибирання снігу на території громади </t>
    </r>
    <r>
      <rPr>
        <sz val="12"/>
        <color indexed="8"/>
        <rFont val="Times New Roman"/>
        <family val="1"/>
        <charset val="204"/>
      </rPr>
      <t xml:space="preserve">КЕКВ 2240, за рахунок перевиконання дохідної частини загального фонду бюджету Новоукраїнської міської територіальної громади таном на 01.09.2021 року </t>
    </r>
  </si>
  <si>
    <r>
      <t xml:space="preserve">Перерозподіл бюджетних призначень в межах виділених річних асигнувань в сумі 12000 грн., перенесення фінансування на КПКВ 08120111 КЕКВ 2610, зменшення фінансування  </t>
    </r>
    <r>
      <rPr>
        <b/>
        <sz val="12"/>
        <color indexed="8"/>
        <rFont val="Times New Roman"/>
        <family val="1"/>
        <charset val="204"/>
      </rPr>
      <t>придбання медикаментів (туберкуліну та вакцини проти грипу) в сумі 9541,65 грн., поліпшення матеріально-технічної бази та оснащення в сумі 2458,35 грн. КНП "Центр первинної медико-санітарної допомоги"</t>
    </r>
    <r>
      <rPr>
        <sz val="12"/>
        <color indexed="8"/>
        <rFont val="Times New Roman"/>
        <family val="1"/>
        <charset val="204"/>
      </rPr>
      <t>,  у зв'язку з економією коштів, як одержувачу коштів управління соціального захисту та охорони здоров'я  Новоукраїнської міської ради,  КЕКВ 2610</t>
    </r>
  </si>
  <si>
    <t>Додаткові  кошти в сумі 36780 грн. для проведення нормативно грошової оцінки земель населених пунктів громади за рахунок залишку коштів спеціального фонду станом на 01 січня 2021 року від надходження коштів від відшкодування втрат сільськогосподарського і лісогосподарського виробництва ,   20% співфінансування на виготовлення нормативно-грошової оцінки земель (видатки розвитку) КЕКВ 2281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</si>
</sst>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quot;-&quot;"/>
    <numFmt numFmtId="165" formatCode="#,##0.00000"/>
    <numFmt numFmtId="166" formatCode="#,##0.0"/>
    <numFmt numFmtId="167" formatCode="#,##0.000"/>
    <numFmt numFmtId="168" formatCode="0.0"/>
    <numFmt numFmtId="169" formatCode="#,##0.0000"/>
    <numFmt numFmtId="170" formatCode="#,##0.00_ ;\-#,##0.00\ "/>
  </numFmts>
  <fonts count="111" x14ac:knownFonts="1">
    <font>
      <sz val="10"/>
      <color theme="1"/>
      <name val="Calibri"/>
      <family val="2"/>
      <charset val="204"/>
      <scheme val="minor"/>
    </font>
    <font>
      <sz val="10"/>
      <color theme="1"/>
      <name val="Times New Roman"/>
      <family val="1"/>
      <charset val="204"/>
    </font>
    <font>
      <b/>
      <sz val="10"/>
      <color theme="1"/>
      <name val="Times New Roman"/>
      <family val="1"/>
      <charset val="204"/>
    </font>
    <font>
      <b/>
      <u/>
      <sz val="10"/>
      <color theme="1"/>
      <name val="Times New Roman"/>
      <family val="1"/>
      <charset val="204"/>
    </font>
    <font>
      <sz val="8"/>
      <color theme="1"/>
      <name val="Times New Roman"/>
      <family val="1"/>
      <charset val="204"/>
    </font>
    <font>
      <sz val="10"/>
      <color theme="1"/>
      <name val="Calibri"/>
      <family val="2"/>
      <charset val="204"/>
      <scheme val="minor"/>
    </font>
    <font>
      <sz val="10"/>
      <color indexed="8"/>
      <name val="Arial"/>
      <family val="2"/>
      <charset val="204"/>
    </font>
    <font>
      <sz val="12"/>
      <color indexed="8"/>
      <name val="Times New Roman"/>
      <family val="1"/>
      <charset val="204"/>
    </font>
    <font>
      <sz val="8"/>
      <color indexed="8"/>
      <name val="Arial"/>
      <family val="2"/>
      <charset val="204"/>
    </font>
    <font>
      <sz val="8"/>
      <color indexed="8"/>
      <name val="Times New Roman"/>
      <family val="1"/>
      <charset val="204"/>
    </font>
    <font>
      <sz val="14"/>
      <color indexed="8"/>
      <name val="Times New Roman"/>
      <family val="1"/>
      <charset val="204"/>
    </font>
    <font>
      <b/>
      <sz val="12"/>
      <color indexed="8"/>
      <name val="Times New Roman"/>
      <family val="1"/>
      <charset val="204"/>
    </font>
    <font>
      <b/>
      <sz val="14"/>
      <color indexed="8"/>
      <name val="Times New Roman"/>
      <family val="1"/>
      <charset val="204"/>
    </font>
    <font>
      <b/>
      <u/>
      <sz val="12"/>
      <color indexed="8"/>
      <name val="Times New Roman"/>
      <family val="1"/>
      <charset val="204"/>
    </font>
    <font>
      <sz val="10"/>
      <name val="Arial Cyr"/>
      <charset val="204"/>
    </font>
    <font>
      <sz val="12"/>
      <name val="Times New Roman"/>
      <family val="1"/>
      <charset val="204"/>
    </font>
    <font>
      <b/>
      <sz val="10"/>
      <color indexed="8"/>
      <name val="Arial"/>
      <family val="2"/>
      <charset val="204"/>
    </font>
    <font>
      <b/>
      <sz val="10"/>
      <color indexed="8"/>
      <name val="Times New Roman"/>
      <family val="1"/>
      <charset val="204"/>
    </font>
    <font>
      <sz val="10"/>
      <color indexed="8"/>
      <name val="Times New Roman"/>
      <family val="1"/>
      <charset val="204"/>
    </font>
    <font>
      <sz val="10"/>
      <name val="Times New Roman"/>
      <family val="1"/>
      <charset val="204"/>
    </font>
    <font>
      <sz val="10"/>
      <color indexed="10"/>
      <name val="Arial Cyr"/>
      <charset val="204"/>
    </font>
    <font>
      <b/>
      <sz val="10"/>
      <color indexed="10"/>
      <name val="Arial"/>
      <family val="2"/>
      <charset val="204"/>
    </font>
    <font>
      <b/>
      <sz val="16"/>
      <name val="Times New Roman"/>
      <family val="1"/>
      <charset val="204"/>
    </font>
    <font>
      <sz val="9"/>
      <color indexed="8"/>
      <name val="Times New Roman"/>
      <family val="1"/>
      <charset val="204"/>
    </font>
    <font>
      <u/>
      <sz val="14"/>
      <name val="Times New Roman"/>
      <family val="1"/>
      <charset val="204"/>
    </font>
    <font>
      <sz val="9"/>
      <color indexed="8"/>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sz val="11"/>
      <color indexed="17"/>
      <name val="Calibri"/>
      <family val="2"/>
      <charset val="204"/>
    </font>
    <font>
      <sz val="10"/>
      <name val="Courier New"/>
      <family val="3"/>
      <charset val="204"/>
    </font>
    <font>
      <sz val="11"/>
      <color indexed="10"/>
      <name val="Calibri"/>
      <family val="2"/>
      <charset val="204"/>
    </font>
    <font>
      <b/>
      <sz val="11"/>
      <color indexed="9"/>
      <name val="Calibri"/>
      <family val="2"/>
      <charset val="204"/>
    </font>
    <font>
      <b/>
      <sz val="18"/>
      <color indexed="62"/>
      <name val="Cambria"/>
      <family val="2"/>
      <charset val="204"/>
    </font>
    <font>
      <b/>
      <sz val="11"/>
      <color indexed="10"/>
      <name val="Calibri"/>
      <family val="2"/>
      <charset val="204"/>
    </font>
    <font>
      <sz val="11"/>
      <color theme="1"/>
      <name val="Calibri"/>
      <family val="2"/>
      <charset val="204"/>
      <scheme val="minor"/>
    </font>
    <font>
      <sz val="12"/>
      <name val="Bookman Old Style"/>
      <family val="1"/>
      <charset val="204"/>
    </font>
    <font>
      <b/>
      <sz val="11"/>
      <color indexed="8"/>
      <name val="Calibri"/>
      <family val="2"/>
      <charset val="204"/>
    </font>
    <font>
      <sz val="11"/>
      <color indexed="20"/>
      <name val="Calibri"/>
      <family val="2"/>
      <charset val="204"/>
    </font>
    <font>
      <b/>
      <sz val="11"/>
      <color indexed="63"/>
      <name val="Calibri"/>
      <family val="2"/>
      <charset val="204"/>
    </font>
    <font>
      <sz val="11"/>
      <color indexed="19"/>
      <name val="Calibri"/>
      <family val="2"/>
      <charset val="204"/>
    </font>
    <font>
      <sz val="10"/>
      <name val="Helv"/>
      <charset val="204"/>
    </font>
    <font>
      <i/>
      <sz val="11"/>
      <color indexed="23"/>
      <name val="Calibri"/>
      <family val="2"/>
      <charset val="204"/>
    </font>
    <font>
      <b/>
      <sz val="12"/>
      <name val="Times New Roman Cyr"/>
      <family val="1"/>
      <charset val="204"/>
    </font>
    <font>
      <b/>
      <sz val="12"/>
      <name val="Times New Roman Cyr"/>
      <charset val="204"/>
    </font>
    <font>
      <b/>
      <sz val="14"/>
      <name val="Times New Roman Cyr"/>
      <family val="1"/>
      <charset val="204"/>
    </font>
    <font>
      <b/>
      <sz val="11"/>
      <name val="Times New Roman Cyr"/>
      <family val="1"/>
      <charset val="204"/>
    </font>
    <font>
      <sz val="14"/>
      <name val="Times New Roman Cyr"/>
      <family val="1"/>
      <charset val="204"/>
    </font>
    <font>
      <sz val="10"/>
      <name val="Times New Roman Cyr"/>
      <family val="1"/>
      <charset val="204"/>
    </font>
    <font>
      <b/>
      <sz val="10"/>
      <name val="Times New Roman Cyr"/>
      <family val="1"/>
      <charset val="204"/>
    </font>
    <font>
      <b/>
      <i/>
      <sz val="14"/>
      <name val="Times New Roman Cyr"/>
      <family val="1"/>
      <charset val="204"/>
    </font>
    <font>
      <b/>
      <sz val="10"/>
      <name val="Times New Roman Cyr"/>
      <charset val="204"/>
    </font>
    <font>
      <b/>
      <i/>
      <sz val="10"/>
      <name val="Times New Roman Cyr"/>
      <charset val="204"/>
    </font>
    <font>
      <i/>
      <sz val="14"/>
      <name val="Times New Roman Cyr"/>
      <family val="1"/>
      <charset val="204"/>
    </font>
    <font>
      <i/>
      <sz val="10"/>
      <name val="Times New Roman Cyr"/>
      <charset val="204"/>
    </font>
    <font>
      <b/>
      <i/>
      <sz val="20"/>
      <name val="Times New Roman CYR"/>
      <charset val="204"/>
    </font>
    <font>
      <b/>
      <sz val="16"/>
      <name val="Times New Roman Cyr"/>
      <charset val="204"/>
    </font>
    <font>
      <sz val="16"/>
      <name val="Times New Roman Cyr"/>
      <family val="1"/>
      <charset val="204"/>
    </font>
    <font>
      <u/>
      <sz val="14"/>
      <name val="Times New Roman Cyr"/>
      <family val="1"/>
      <charset val="204"/>
    </font>
    <font>
      <b/>
      <i/>
      <sz val="12"/>
      <name val="Times New Roman Cyr"/>
      <family val="1"/>
      <charset val="204"/>
    </font>
    <font>
      <b/>
      <i/>
      <sz val="12"/>
      <name val="Times New Roman Cyr"/>
      <charset val="204"/>
    </font>
    <font>
      <b/>
      <sz val="14"/>
      <name val="Times New Roman CYR"/>
      <charset val="204"/>
    </font>
    <font>
      <sz val="10"/>
      <color indexed="10"/>
      <name val="Times New Roman"/>
      <family val="1"/>
      <charset val="204"/>
    </font>
    <font>
      <b/>
      <sz val="14"/>
      <name val="Times New Roman"/>
      <family val="1"/>
      <charset val="204"/>
    </font>
    <font>
      <b/>
      <sz val="12"/>
      <name val="Times New Roman"/>
      <family val="1"/>
      <charset val="204"/>
    </font>
    <font>
      <b/>
      <sz val="14"/>
      <color indexed="10"/>
      <name val="Times New Roman"/>
      <family val="1"/>
      <charset val="204"/>
    </font>
    <font>
      <sz val="8"/>
      <name val="Times New Roman"/>
      <family val="1"/>
      <charset val="204"/>
    </font>
    <font>
      <vertAlign val="superscript"/>
      <sz val="8"/>
      <name val="Times New Roman"/>
      <family val="1"/>
      <charset val="204"/>
    </font>
    <font>
      <sz val="9"/>
      <name val="Times New Roman"/>
      <family val="1"/>
      <charset val="204"/>
    </font>
    <font>
      <sz val="8"/>
      <name val="Arial Cyr"/>
      <charset val="204"/>
    </font>
    <font>
      <i/>
      <sz val="9"/>
      <name val="Times New Roman"/>
      <family val="1"/>
      <charset val="204"/>
    </font>
    <font>
      <sz val="9"/>
      <name val="Arial Cyr"/>
      <charset val="204"/>
    </font>
    <font>
      <b/>
      <sz val="11"/>
      <name val="Times New Roman"/>
      <family val="1"/>
      <charset val="204"/>
    </font>
    <font>
      <b/>
      <sz val="11"/>
      <color indexed="8"/>
      <name val="Times New Roman"/>
      <family val="1"/>
      <charset val="204"/>
    </font>
    <font>
      <b/>
      <sz val="12"/>
      <color indexed="10"/>
      <name val="Times New Roman"/>
      <family val="1"/>
      <charset val="204"/>
    </font>
    <font>
      <sz val="12"/>
      <color indexed="10"/>
      <name val="Times New Roman"/>
      <family val="1"/>
      <charset val="204"/>
    </font>
    <font>
      <sz val="12"/>
      <color indexed="8"/>
      <name val="Times New Roman Cyr"/>
      <charset val="204"/>
    </font>
    <font>
      <b/>
      <sz val="12"/>
      <color indexed="8"/>
      <name val="Times New Roman Cyr"/>
      <charset val="204"/>
    </font>
    <font>
      <sz val="12"/>
      <name val="Times New Roman CYR"/>
      <charset val="204"/>
    </font>
    <font>
      <b/>
      <sz val="13.5"/>
      <color indexed="8"/>
      <name val="Times New Roman"/>
      <family val="1"/>
      <charset val="204"/>
    </font>
    <font>
      <sz val="10"/>
      <name val="Times New Roman Cyr"/>
      <charset val="204"/>
    </font>
    <font>
      <sz val="16"/>
      <color indexed="8"/>
      <name val="Times New Roman"/>
      <family val="1"/>
      <charset val="204"/>
    </font>
    <font>
      <i/>
      <sz val="10"/>
      <name val="Times New Roman Cyr"/>
      <family val="1"/>
      <charset val="204"/>
    </font>
    <font>
      <b/>
      <sz val="16"/>
      <name val="Times New Roman Cyr"/>
      <family val="1"/>
      <charset val="204"/>
    </font>
    <font>
      <b/>
      <sz val="22"/>
      <name val="Times New Roman Cyr"/>
      <family val="1"/>
      <charset val="204"/>
    </font>
    <font>
      <sz val="16"/>
      <name val="Times New Roman Cyr"/>
      <charset val="204"/>
    </font>
    <font>
      <b/>
      <sz val="11"/>
      <name val="Times New Roman Cyr"/>
      <charset val="204"/>
    </font>
    <font>
      <b/>
      <sz val="13"/>
      <name val="Times New Roman Cyr"/>
      <charset val="204"/>
    </font>
    <font>
      <b/>
      <i/>
      <sz val="16"/>
      <name val="Times New Roman CYR"/>
      <charset val="204"/>
    </font>
    <font>
      <b/>
      <sz val="18"/>
      <name val="Times New Roman Cyr"/>
      <charset val="204"/>
    </font>
    <font>
      <b/>
      <i/>
      <sz val="18"/>
      <name val="Times New Roman CYR"/>
      <charset val="204"/>
    </font>
    <font>
      <i/>
      <sz val="16"/>
      <name val="Times New Roman CYR"/>
      <charset val="204"/>
    </font>
    <font>
      <i/>
      <sz val="16"/>
      <name val="Times New Roman Cyr"/>
      <family val="1"/>
      <charset val="204"/>
    </font>
    <font>
      <sz val="16"/>
      <name val="Times New Roman"/>
      <family val="1"/>
      <charset val="204"/>
    </font>
    <font>
      <b/>
      <sz val="16"/>
      <color indexed="8"/>
      <name val="Times New Roman"/>
      <family val="1"/>
      <charset val="204"/>
    </font>
    <font>
      <b/>
      <sz val="22"/>
      <name val="Times New Roman CYR"/>
      <charset val="204"/>
    </font>
    <font>
      <b/>
      <sz val="19"/>
      <name val="Times New Roman CYR"/>
      <charset val="204"/>
    </font>
    <font>
      <sz val="12"/>
      <name val="Arial Cyr"/>
      <charset val="204"/>
    </font>
    <font>
      <sz val="8"/>
      <color indexed="10"/>
      <name val="Times New Roman"/>
      <family val="1"/>
      <charset val="204"/>
    </font>
    <font>
      <sz val="12"/>
      <color theme="1"/>
      <name val="Times New Roman"/>
      <family val="1"/>
      <charset val="204"/>
    </font>
    <font>
      <sz val="9"/>
      <color indexed="81"/>
      <name val="Tahoma"/>
      <family val="2"/>
      <charset val="204"/>
    </font>
    <font>
      <b/>
      <sz val="9"/>
      <color indexed="81"/>
      <name val="Tahoma"/>
      <family val="2"/>
      <charset val="204"/>
    </font>
    <font>
      <sz val="11"/>
      <color indexed="8"/>
      <name val="Times New Roman"/>
      <family val="1"/>
      <charset val="204"/>
    </font>
    <font>
      <sz val="12"/>
      <color rgb="FFFF0000"/>
      <name val="Times New Roman"/>
      <family val="1"/>
      <charset val="204"/>
    </font>
    <font>
      <b/>
      <sz val="12"/>
      <color theme="1"/>
      <name val="Times New Roman"/>
      <family val="1"/>
      <charset val="204"/>
    </font>
    <font>
      <b/>
      <sz val="10"/>
      <color theme="1"/>
      <name val="Calibri"/>
      <family val="2"/>
      <charset val="204"/>
      <scheme val="minor"/>
    </font>
    <font>
      <b/>
      <sz val="18"/>
      <color theme="1"/>
      <name val="Calibri"/>
      <family val="2"/>
      <charset val="204"/>
      <scheme val="minor"/>
    </font>
    <font>
      <b/>
      <sz val="14"/>
      <color theme="1"/>
      <name val="Calibri"/>
      <family val="2"/>
      <charset val="204"/>
      <scheme val="minor"/>
    </font>
    <font>
      <sz val="12"/>
      <color theme="1"/>
      <name val="Calibri"/>
      <family val="2"/>
      <charset val="204"/>
      <scheme val="minor"/>
    </font>
    <font>
      <b/>
      <sz val="12"/>
      <color theme="1"/>
      <name val="Calibri"/>
      <family val="2"/>
      <charset val="204"/>
      <scheme val="minor"/>
    </font>
    <font>
      <sz val="14"/>
      <name val="Times New Roman"/>
      <family val="1"/>
      <charset val="204"/>
    </font>
  </fonts>
  <fills count="23">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9"/>
      </patternFill>
    </fill>
    <fill>
      <patternFill patternType="solid">
        <fgColor indexed="46"/>
      </patternFill>
    </fill>
    <fill>
      <patternFill patternType="solid">
        <fgColor theme="0"/>
        <bgColor indexed="64"/>
      </patternFill>
    </fill>
    <fill>
      <patternFill patternType="solid">
        <fgColor rgb="FFFFFF00"/>
        <bgColor indexed="64"/>
      </patternFill>
    </fill>
    <fill>
      <patternFill patternType="solid">
        <fgColor indexed="4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0"/>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style="thin">
        <color indexed="56"/>
      </top>
      <bottom style="double">
        <color indexed="56"/>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s>
  <cellStyleXfs count="72">
    <xf numFmtId="0" fontId="0" fillId="0" borderId="0"/>
    <xf numFmtId="0" fontId="6" fillId="0" borderId="0"/>
    <xf numFmtId="0" fontId="14" fillId="0" borderId="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8" borderId="0" applyNumberFormat="0" applyBorder="0" applyAlignment="0" applyProtection="0"/>
    <xf numFmtId="0" fontId="26" fillId="5"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0" borderId="0" applyNumberFormat="0" applyBorder="0" applyAlignment="0" applyProtection="0"/>
    <xf numFmtId="0" fontId="27" fillId="8" borderId="0" applyNumberFormat="0" applyBorder="0" applyAlignment="0" applyProtection="0"/>
    <xf numFmtId="0" fontId="27" fillId="5" borderId="0" applyNumberFormat="0" applyBorder="0" applyAlignment="0" applyProtection="0"/>
    <xf numFmtId="0" fontId="14" fillId="0" borderId="0"/>
    <xf numFmtId="0" fontId="27" fillId="13"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8" fillId="9" borderId="24" applyNumberFormat="0" applyAlignment="0" applyProtection="0"/>
    <xf numFmtId="0" fontId="29" fillId="8"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 fillId="0" borderId="0"/>
    <xf numFmtId="0" fontId="30" fillId="0" borderId="0"/>
    <xf numFmtId="0" fontId="14" fillId="0" borderId="0"/>
    <xf numFmtId="0" fontId="14" fillId="0" borderId="0"/>
    <xf numFmtId="0" fontId="30" fillId="0" borderId="0"/>
    <xf numFmtId="0" fontId="30" fillId="0" borderId="0"/>
    <xf numFmtId="0" fontId="30" fillId="0" borderId="0"/>
    <xf numFmtId="0" fontId="30" fillId="0" borderId="0"/>
    <xf numFmtId="0" fontId="30" fillId="0" borderId="0"/>
    <xf numFmtId="0" fontId="6" fillId="0" borderId="0">
      <alignment vertical="top"/>
    </xf>
    <xf numFmtId="0" fontId="31" fillId="0" borderId="25" applyNumberFormat="0" applyFill="0" applyAlignment="0" applyProtection="0"/>
    <xf numFmtId="0" fontId="32" fillId="17" borderId="26" applyNumberFormat="0" applyAlignment="0" applyProtection="0"/>
    <xf numFmtId="0" fontId="33" fillId="0" borderId="0" applyNumberFormat="0" applyFill="0" applyBorder="0" applyAlignment="0" applyProtection="0"/>
    <xf numFmtId="0" fontId="34" fillId="18" borderId="24" applyNumberFormat="0" applyAlignment="0" applyProtection="0"/>
    <xf numFmtId="0" fontId="5" fillId="0" borderId="0"/>
    <xf numFmtId="0" fontId="35" fillId="0" borderId="0"/>
    <xf numFmtId="0" fontId="19" fillId="0" borderId="0"/>
    <xf numFmtId="0" fontId="19" fillId="0" borderId="0"/>
    <xf numFmtId="0" fontId="6" fillId="0" borderId="0"/>
    <xf numFmtId="0" fontId="36" fillId="0" borderId="0"/>
    <xf numFmtId="0" fontId="5" fillId="0" borderId="0"/>
    <xf numFmtId="0" fontId="5" fillId="0" borderId="0"/>
    <xf numFmtId="0" fontId="5" fillId="0" borderId="0"/>
    <xf numFmtId="0" fontId="5" fillId="0" borderId="0"/>
    <xf numFmtId="0" fontId="37" fillId="0" borderId="27" applyNumberFormat="0" applyFill="0" applyAlignment="0" applyProtection="0"/>
    <xf numFmtId="0" fontId="38" fillId="19" borderId="0" applyNumberFormat="0" applyBorder="0" applyAlignment="0" applyProtection="0"/>
    <xf numFmtId="0" fontId="19" fillId="6" borderId="28" applyNumberFormat="0" applyFont="0" applyAlignment="0" applyProtection="0"/>
    <xf numFmtId="0" fontId="39" fillId="18" borderId="29" applyNumberFormat="0" applyAlignment="0" applyProtection="0"/>
    <xf numFmtId="0" fontId="40" fillId="9" borderId="0" applyNumberFormat="0" applyBorder="0" applyAlignment="0" applyProtection="0"/>
    <xf numFmtId="0" fontId="41" fillId="0" borderId="0"/>
    <xf numFmtId="0" fontId="31" fillId="0" borderId="0" applyNumberFormat="0" applyFill="0" applyBorder="0" applyAlignment="0" applyProtection="0"/>
    <xf numFmtId="0" fontId="42" fillId="0" borderId="0" applyNumberFormat="0" applyFill="0" applyBorder="0" applyAlignment="0" applyProtection="0"/>
  </cellStyleXfs>
  <cellXfs count="978">
    <xf numFmtId="0" fontId="0" fillId="0" borderId="0" xfId="0"/>
    <xf numFmtId="0" fontId="1" fillId="0" borderId="0" xfId="0" applyFont="1"/>
    <xf numFmtId="0" fontId="1" fillId="0" borderId="0" xfId="0" applyFont="1" applyAlignment="1">
      <alignment horizontal="right"/>
    </xf>
    <xf numFmtId="0" fontId="1" fillId="0" borderId="1" xfId="0" applyFont="1" applyBorder="1"/>
    <xf numFmtId="0" fontId="2" fillId="0" borderId="1" xfId="0" applyFont="1" applyBorder="1" applyAlignment="1">
      <alignment vertical="center" wrapText="1"/>
    </xf>
    <xf numFmtId="0" fontId="1" fillId="0" borderId="1" xfId="0" applyFont="1" applyBorder="1" applyAlignment="1">
      <alignment vertical="center" wrapText="1"/>
    </xf>
    <xf numFmtId="0" fontId="1" fillId="0" borderId="5" xfId="0" applyFont="1" applyBorder="1"/>
    <xf numFmtId="0" fontId="2" fillId="0" borderId="5" xfId="0" applyFont="1" applyBorder="1" applyAlignment="1">
      <alignment vertical="center"/>
    </xf>
    <xf numFmtId="0" fontId="1" fillId="0" borderId="5" xfId="0" applyFont="1" applyBorder="1" applyAlignment="1">
      <alignment vertical="center"/>
    </xf>
    <xf numFmtId="0" fontId="7" fillId="0" borderId="0" xfId="1" applyFont="1"/>
    <xf numFmtId="0" fontId="7" fillId="0" borderId="0" xfId="1" applyFont="1" applyAlignment="1">
      <alignment horizontal="left"/>
    </xf>
    <xf numFmtId="0" fontId="8" fillId="0" borderId="0" xfId="1" applyFont="1"/>
    <xf numFmtId="0" fontId="9" fillId="0" borderId="0" xfId="1" applyFont="1"/>
    <xf numFmtId="0" fontId="10" fillId="0" borderId="0" xfId="1" applyFont="1" applyAlignment="1">
      <alignment horizontal="center"/>
    </xf>
    <xf numFmtId="0" fontId="7" fillId="0" borderId="0" xfId="1" applyFont="1" applyAlignment="1"/>
    <xf numFmtId="0" fontId="11" fillId="0" borderId="0" xfId="1" applyFont="1" applyFill="1" applyBorder="1" applyAlignment="1">
      <alignment horizontal="center" vertical="center" wrapText="1"/>
    </xf>
    <xf numFmtId="0" fontId="11" fillId="0" borderId="0" xfId="1" applyFont="1" applyFill="1" applyBorder="1" applyAlignment="1">
      <alignment horizontal="left" vertical="center" wrapText="1"/>
    </xf>
    <xf numFmtId="0" fontId="15" fillId="2" borderId="0" xfId="2" applyFont="1" applyFill="1" applyAlignment="1">
      <alignment horizontal="right"/>
    </xf>
    <xf numFmtId="0" fontId="11" fillId="0" borderId="12" xfId="1" applyFont="1" applyFill="1" applyBorder="1" applyAlignment="1">
      <alignment horizontal="center" vertical="center"/>
    </xf>
    <xf numFmtId="2" fontId="11" fillId="0" borderId="14" xfId="1" applyNumberFormat="1" applyFont="1" applyFill="1" applyBorder="1" applyAlignment="1">
      <alignment horizontal="center" vertical="center" wrapText="1"/>
    </xf>
    <xf numFmtId="0" fontId="11" fillId="0" borderId="9" xfId="1" applyFont="1" applyFill="1" applyBorder="1" applyAlignment="1">
      <alignment horizontal="center" vertical="center"/>
    </xf>
    <xf numFmtId="0" fontId="11" fillId="0" borderId="10" xfId="1" applyFont="1" applyFill="1" applyBorder="1" applyAlignment="1">
      <alignment horizontal="center" vertical="center" wrapText="1"/>
    </xf>
    <xf numFmtId="1" fontId="11" fillId="0" borderId="10" xfId="1" applyNumberFormat="1" applyFont="1" applyFill="1" applyBorder="1" applyAlignment="1">
      <alignment horizontal="center" vertical="center"/>
    </xf>
    <xf numFmtId="1" fontId="11" fillId="0" borderId="15" xfId="1" applyNumberFormat="1" applyFont="1" applyFill="1" applyBorder="1" applyAlignment="1">
      <alignment horizontal="center" vertical="center" wrapText="1"/>
    </xf>
    <xf numFmtId="0" fontId="11" fillId="0" borderId="16" xfId="1" applyFont="1" applyFill="1" applyBorder="1" applyAlignment="1">
      <alignment horizontal="left" vertical="center"/>
    </xf>
    <xf numFmtId="0" fontId="11" fillId="0" borderId="17" xfId="1" applyFont="1" applyFill="1" applyBorder="1" applyAlignment="1">
      <alignment horizontal="left" vertical="center" wrapText="1"/>
    </xf>
    <xf numFmtId="1" fontId="11" fillId="0" borderId="17" xfId="1" applyNumberFormat="1" applyFont="1" applyFill="1" applyBorder="1" applyAlignment="1">
      <alignment horizontal="center" vertical="center"/>
    </xf>
    <xf numFmtId="1" fontId="11" fillId="0" borderId="18" xfId="1" applyNumberFormat="1" applyFont="1" applyFill="1" applyBorder="1" applyAlignment="1">
      <alignment horizontal="center" vertical="center"/>
    </xf>
    <xf numFmtId="0" fontId="16" fillId="0" borderId="0" xfId="1" applyFont="1" applyBorder="1"/>
    <xf numFmtId="1" fontId="16" fillId="0" borderId="0" xfId="1" applyNumberFormat="1" applyFont="1"/>
    <xf numFmtId="0" fontId="16" fillId="0" borderId="0" xfId="1" applyFont="1"/>
    <xf numFmtId="0" fontId="11" fillId="0" borderId="19" xfId="1" applyFont="1" applyFill="1" applyBorder="1" applyAlignment="1">
      <alignment horizontal="left" vertical="center"/>
    </xf>
    <xf numFmtId="0" fontId="11" fillId="0" borderId="20" xfId="1" applyFont="1" applyFill="1" applyBorder="1" applyAlignment="1">
      <alignment horizontal="left" vertical="center" wrapText="1"/>
    </xf>
    <xf numFmtId="1" fontId="11" fillId="0" borderId="20" xfId="1" applyNumberFormat="1" applyFont="1" applyFill="1" applyBorder="1" applyAlignment="1">
      <alignment horizontal="center" vertical="center"/>
    </xf>
    <xf numFmtId="1" fontId="11" fillId="0" borderId="21" xfId="1" applyNumberFormat="1" applyFont="1" applyFill="1" applyBorder="1" applyAlignment="1">
      <alignment horizontal="center" vertical="center"/>
    </xf>
    <xf numFmtId="0" fontId="17" fillId="0" borderId="0" xfId="1" applyFont="1"/>
    <xf numFmtId="0" fontId="11" fillId="0" borderId="5" xfId="1" applyFont="1" applyFill="1" applyBorder="1" applyAlignment="1">
      <alignment horizontal="left" vertical="center"/>
    </xf>
    <xf numFmtId="0" fontId="11" fillId="0" borderId="1" xfId="1" applyFont="1" applyFill="1" applyBorder="1" applyAlignment="1">
      <alignment horizontal="left" vertical="center" wrapText="1"/>
    </xf>
    <xf numFmtId="1" fontId="11" fillId="0" borderId="1" xfId="1" applyNumberFormat="1" applyFont="1" applyFill="1" applyBorder="1" applyAlignment="1">
      <alignment horizontal="center" vertical="center"/>
    </xf>
    <xf numFmtId="1" fontId="11" fillId="0" borderId="6" xfId="1" applyNumberFormat="1" applyFont="1" applyFill="1" applyBorder="1" applyAlignment="1">
      <alignment horizontal="center" vertical="center"/>
    </xf>
    <xf numFmtId="0" fontId="7" fillId="0" borderId="5" xfId="1" applyFont="1" applyFill="1" applyBorder="1" applyAlignment="1">
      <alignment horizontal="left" vertical="center"/>
    </xf>
    <xf numFmtId="0" fontId="7" fillId="0" borderId="1" xfId="1" applyFont="1" applyFill="1" applyBorder="1" applyAlignment="1">
      <alignment horizontal="left" vertical="center" wrapText="1"/>
    </xf>
    <xf numFmtId="1" fontId="7" fillId="0" borderId="1" xfId="1" applyNumberFormat="1" applyFont="1" applyFill="1" applyBorder="1" applyAlignment="1">
      <alignment horizontal="center" vertical="center"/>
    </xf>
    <xf numFmtId="1" fontId="15" fillId="2" borderId="1" xfId="1" applyNumberFormat="1" applyFont="1" applyFill="1" applyBorder="1" applyAlignment="1">
      <alignment horizontal="center" vertical="center"/>
    </xf>
    <xf numFmtId="1" fontId="7" fillId="0" borderId="6" xfId="1" applyNumberFormat="1" applyFont="1" applyFill="1" applyBorder="1" applyAlignment="1">
      <alignment horizontal="center" vertical="center"/>
    </xf>
    <xf numFmtId="0" fontId="18" fillId="0" borderId="0" xfId="1" applyFont="1"/>
    <xf numFmtId="0" fontId="6" fillId="0" borderId="0" xfId="1"/>
    <xf numFmtId="0" fontId="7" fillId="0" borderId="22" xfId="1" applyFont="1" applyFill="1" applyBorder="1" applyAlignment="1">
      <alignment horizontal="left" vertical="center"/>
    </xf>
    <xf numFmtId="0" fontId="7" fillId="0" borderId="12" xfId="1" applyFont="1" applyFill="1" applyBorder="1" applyAlignment="1">
      <alignment horizontal="left" vertical="center" wrapText="1"/>
    </xf>
    <xf numFmtId="1" fontId="7" fillId="0" borderId="12" xfId="1" applyNumberFormat="1" applyFont="1" applyFill="1" applyBorder="1" applyAlignment="1">
      <alignment horizontal="center" vertical="center"/>
    </xf>
    <xf numFmtId="1" fontId="7" fillId="0" borderId="14" xfId="1" applyNumberFormat="1" applyFont="1" applyFill="1" applyBorder="1" applyAlignment="1">
      <alignment horizontal="center" vertical="center"/>
    </xf>
    <xf numFmtId="1" fontId="7" fillId="2" borderId="1" xfId="1" applyNumberFormat="1" applyFont="1" applyFill="1" applyBorder="1" applyAlignment="1">
      <alignment horizontal="center" vertical="center"/>
    </xf>
    <xf numFmtId="1" fontId="7" fillId="2" borderId="12" xfId="1" applyNumberFormat="1" applyFont="1" applyFill="1" applyBorder="1" applyAlignment="1">
      <alignment horizontal="center" vertical="center"/>
    </xf>
    <xf numFmtId="1" fontId="7" fillId="0" borderId="17" xfId="1" applyNumberFormat="1" applyFont="1" applyFill="1" applyBorder="1" applyAlignment="1">
      <alignment horizontal="center" vertical="center"/>
    </xf>
    <xf numFmtId="1" fontId="7" fillId="0" borderId="20" xfId="1" applyNumberFormat="1" applyFont="1" applyFill="1" applyBorder="1" applyAlignment="1">
      <alignment horizontal="center" vertical="center"/>
    </xf>
    <xf numFmtId="1" fontId="7" fillId="2" borderId="6" xfId="1" applyNumberFormat="1" applyFont="1" applyFill="1" applyBorder="1" applyAlignment="1">
      <alignment horizontal="center" vertical="center"/>
    </xf>
    <xf numFmtId="0" fontId="11" fillId="0" borderId="12" xfId="1" applyFont="1" applyFill="1" applyBorder="1" applyAlignment="1">
      <alignment horizontal="left" vertical="center" wrapText="1"/>
    </xf>
    <xf numFmtId="1" fontId="11" fillId="0" borderId="12" xfId="1" applyNumberFormat="1" applyFont="1" applyFill="1" applyBorder="1" applyAlignment="1">
      <alignment horizontal="center" vertical="center"/>
    </xf>
    <xf numFmtId="1" fontId="11" fillId="0" borderId="14" xfId="1" applyNumberFormat="1" applyFont="1" applyFill="1" applyBorder="1" applyAlignment="1">
      <alignment horizontal="center" vertical="center"/>
    </xf>
    <xf numFmtId="0" fontId="11" fillId="0" borderId="16" xfId="2" applyFont="1" applyFill="1" applyBorder="1" applyAlignment="1">
      <alignment horizontal="left" vertical="center"/>
    </xf>
    <xf numFmtId="0" fontId="11" fillId="0" borderId="17" xfId="2" applyFont="1" applyFill="1" applyBorder="1" applyAlignment="1">
      <alignment horizontal="left" vertical="center" wrapText="1"/>
    </xf>
    <xf numFmtId="1" fontId="11" fillId="0" borderId="17" xfId="2" applyNumberFormat="1" applyFont="1" applyFill="1" applyBorder="1" applyAlignment="1">
      <alignment horizontal="center" vertical="center"/>
    </xf>
    <xf numFmtId="1" fontId="11" fillId="0" borderId="18" xfId="2" applyNumberFormat="1" applyFont="1" applyFill="1" applyBorder="1" applyAlignment="1">
      <alignment horizontal="center" vertical="center"/>
    </xf>
    <xf numFmtId="2" fontId="17" fillId="0" borderId="0" xfId="2" applyNumberFormat="1" applyFont="1" applyFill="1"/>
    <xf numFmtId="0" fontId="16" fillId="0" borderId="0" xfId="2" applyFont="1" applyFill="1"/>
    <xf numFmtId="0" fontId="11" fillId="0" borderId="19" xfId="2" applyFont="1" applyFill="1" applyBorder="1" applyAlignment="1">
      <alignment horizontal="left" vertical="center"/>
    </xf>
    <xf numFmtId="0" fontId="11" fillId="0" borderId="20" xfId="2" applyFont="1" applyFill="1" applyBorder="1" applyAlignment="1">
      <alignment horizontal="left" vertical="center" wrapText="1"/>
    </xf>
    <xf numFmtId="1" fontId="11" fillId="0" borderId="20" xfId="2" applyNumberFormat="1" applyFont="1" applyFill="1" applyBorder="1" applyAlignment="1">
      <alignment horizontal="center" vertical="center"/>
    </xf>
    <xf numFmtId="1" fontId="11" fillId="0" borderId="21" xfId="2" applyNumberFormat="1" applyFont="1" applyFill="1" applyBorder="1" applyAlignment="1">
      <alignment horizontal="center" vertical="center"/>
    </xf>
    <xf numFmtId="0" fontId="17" fillId="0" borderId="0" xfId="2" applyFont="1" applyFill="1"/>
    <xf numFmtId="0" fontId="11" fillId="0" borderId="5" xfId="2" applyFont="1" applyFill="1" applyBorder="1" applyAlignment="1">
      <alignment horizontal="left" vertical="center"/>
    </xf>
    <xf numFmtId="0" fontId="11" fillId="0" borderId="1" xfId="2" applyFont="1" applyFill="1" applyBorder="1" applyAlignment="1">
      <alignment horizontal="left" vertical="center" wrapText="1"/>
    </xf>
    <xf numFmtId="1" fontId="11" fillId="0" borderId="1" xfId="2" applyNumberFormat="1" applyFont="1" applyFill="1" applyBorder="1" applyAlignment="1">
      <alignment horizontal="center" vertical="center"/>
    </xf>
    <xf numFmtId="1" fontId="11" fillId="0" borderId="6" xfId="2" applyNumberFormat="1" applyFont="1" applyFill="1" applyBorder="1" applyAlignment="1">
      <alignment horizontal="center" vertical="center"/>
    </xf>
    <xf numFmtId="0" fontId="7" fillId="0" borderId="5" xfId="2" applyFont="1" applyFill="1" applyBorder="1" applyAlignment="1">
      <alignment horizontal="left" vertical="center"/>
    </xf>
    <xf numFmtId="0" fontId="7" fillId="0" borderId="1" xfId="2" applyFont="1" applyFill="1" applyBorder="1" applyAlignment="1">
      <alignment horizontal="left" vertical="center" wrapText="1"/>
    </xf>
    <xf numFmtId="1" fontId="7" fillId="0" borderId="1" xfId="2" applyNumberFormat="1" applyFont="1" applyFill="1" applyBorder="1" applyAlignment="1">
      <alignment horizontal="center" vertical="center"/>
    </xf>
    <xf numFmtId="1" fontId="7" fillId="0" borderId="6" xfId="2" applyNumberFormat="1" applyFont="1" applyFill="1" applyBorder="1" applyAlignment="1">
      <alignment horizontal="center" vertical="center"/>
    </xf>
    <xf numFmtId="1" fontId="19" fillId="0" borderId="0" xfId="2" applyNumberFormat="1" applyFont="1" applyFill="1"/>
    <xf numFmtId="0" fontId="14" fillId="0" borderId="0" xfId="2" applyFill="1"/>
    <xf numFmtId="0" fontId="19" fillId="0" borderId="0" xfId="2" applyFont="1" applyFill="1"/>
    <xf numFmtId="1" fontId="7" fillId="2" borderId="1" xfId="2" applyNumberFormat="1" applyFont="1" applyFill="1" applyBorder="1" applyAlignment="1">
      <alignment horizontal="center" vertical="center"/>
    </xf>
    <xf numFmtId="0" fontId="20" fillId="0" borderId="0" xfId="2" applyFont="1" applyFill="1"/>
    <xf numFmtId="0" fontId="21" fillId="0" borderId="0" xfId="2" applyFont="1" applyFill="1"/>
    <xf numFmtId="0" fontId="7" fillId="0" borderId="1" xfId="2" applyFont="1" applyFill="1" applyBorder="1" applyAlignment="1">
      <alignment wrapText="1"/>
    </xf>
    <xf numFmtId="0" fontId="11" fillId="0" borderId="22" xfId="1" applyFont="1" applyFill="1" applyBorder="1" applyAlignment="1">
      <alignment horizontal="left" vertical="center"/>
    </xf>
    <xf numFmtId="0" fontId="22" fillId="0" borderId="23" xfId="2" applyFont="1" applyFill="1" applyBorder="1" applyAlignment="1">
      <alignment horizontal="left" vertical="center"/>
    </xf>
    <xf numFmtId="0" fontId="18" fillId="0" borderId="0" xfId="1" applyFont="1" applyAlignment="1">
      <alignment wrapText="1"/>
    </xf>
    <xf numFmtId="0" fontId="23" fillId="0" borderId="0" xfId="1" applyFont="1"/>
    <xf numFmtId="0" fontId="25" fillId="0" borderId="0" xfId="1" applyFont="1"/>
    <xf numFmtId="1" fontId="25" fillId="0" borderId="0" xfId="1" applyNumberFormat="1" applyFont="1"/>
    <xf numFmtId="1" fontId="6" fillId="0" borderId="0" xfId="1" applyNumberFormat="1"/>
    <xf numFmtId="0" fontId="6" fillId="0" borderId="0" xfId="1" applyAlignment="1">
      <alignment wrapText="1"/>
    </xf>
    <xf numFmtId="0" fontId="43" fillId="0" borderId="0" xfId="2" applyFont="1" applyAlignment="1">
      <alignment vertical="center"/>
    </xf>
    <xf numFmtId="0" fontId="43" fillId="0" borderId="0" xfId="2" applyFont="1" applyAlignment="1">
      <alignment horizontal="left" vertical="center"/>
    </xf>
    <xf numFmtId="0" fontId="44" fillId="0" borderId="0" xfId="2" applyFont="1" applyAlignment="1">
      <alignment vertical="center"/>
    </xf>
    <xf numFmtId="0" fontId="43" fillId="0" borderId="0" xfId="2" applyFont="1" applyAlignment="1">
      <alignment horizontal="left"/>
    </xf>
    <xf numFmtId="0" fontId="45" fillId="0" borderId="0" xfId="2" applyFont="1" applyAlignment="1">
      <alignment vertical="center"/>
    </xf>
    <xf numFmtId="0" fontId="46" fillId="0" borderId="0" xfId="2" applyFont="1" applyAlignment="1">
      <alignment horizontal="center" vertical="center"/>
    </xf>
    <xf numFmtId="0" fontId="46" fillId="0" borderId="0" xfId="2" applyFont="1" applyAlignment="1">
      <alignment vertical="center"/>
    </xf>
    <xf numFmtId="0" fontId="47" fillId="0" borderId="0" xfId="2" applyFont="1" applyAlignment="1">
      <alignment vertical="center"/>
    </xf>
    <xf numFmtId="0" fontId="47" fillId="0" borderId="0" xfId="2" applyFont="1" applyAlignment="1">
      <alignment horizontal="left" vertical="center"/>
    </xf>
    <xf numFmtId="0" fontId="48" fillId="0" borderId="0" xfId="2" applyFont="1" applyAlignment="1">
      <alignment vertical="center"/>
    </xf>
    <xf numFmtId="0" fontId="49" fillId="0" borderId="0" xfId="2" applyFont="1" applyAlignment="1">
      <alignment vertical="center"/>
    </xf>
    <xf numFmtId="0" fontId="45" fillId="0" borderId="38" xfId="2" applyFont="1" applyBorder="1" applyAlignment="1">
      <alignment horizontal="center" vertical="center" wrapText="1"/>
    </xf>
    <xf numFmtId="0" fontId="45" fillId="0" borderId="39" xfId="2" applyFont="1" applyBorder="1" applyAlignment="1">
      <alignment horizontal="center" vertical="center" wrapText="1"/>
    </xf>
    <xf numFmtId="0" fontId="46" fillId="0" borderId="0" xfId="2" applyFont="1" applyBorder="1" applyAlignment="1">
      <alignment horizontal="center" vertical="center" wrapText="1"/>
    </xf>
    <xf numFmtId="0" fontId="45" fillId="0" borderId="38" xfId="2" applyFont="1" applyBorder="1" applyAlignment="1">
      <alignment horizontal="center" vertical="distributed" wrapText="1"/>
    </xf>
    <xf numFmtId="0" fontId="45" fillId="0" borderId="43" xfId="2" applyFont="1" applyBorder="1" applyAlignment="1">
      <alignment horizontal="center" vertical="top" wrapText="1"/>
    </xf>
    <xf numFmtId="0" fontId="45" fillId="0" borderId="44" xfId="2" applyFont="1" applyBorder="1" applyAlignment="1">
      <alignment horizontal="left" vertical="top" wrapText="1"/>
    </xf>
    <xf numFmtId="0" fontId="49" fillId="0" borderId="0" xfId="2" applyFont="1" applyBorder="1" applyAlignment="1">
      <alignment horizontal="center" vertical="center" wrapText="1"/>
    </xf>
    <xf numFmtId="0" fontId="50" fillId="0" borderId="43" xfId="2" applyFont="1" applyBorder="1" applyAlignment="1">
      <alignment horizontal="center" vertical="top" wrapText="1"/>
    </xf>
    <xf numFmtId="0" fontId="50" fillId="0" borderId="44" xfId="2" applyFont="1" applyBorder="1" applyAlignment="1">
      <alignment horizontal="left" vertical="top" wrapText="1"/>
    </xf>
    <xf numFmtId="0" fontId="51" fillId="0" borderId="0" xfId="2" applyFont="1" applyBorder="1" applyAlignment="1">
      <alignment horizontal="center" vertical="center" wrapText="1"/>
    </xf>
    <xf numFmtId="0" fontId="51" fillId="0" borderId="0" xfId="2" applyFont="1" applyAlignment="1">
      <alignment vertical="center"/>
    </xf>
    <xf numFmtId="0" fontId="52" fillId="0" borderId="0" xfId="2" applyFont="1" applyBorder="1" applyAlignment="1">
      <alignment horizontal="center" vertical="center" wrapText="1"/>
    </xf>
    <xf numFmtId="0" fontId="52" fillId="0" borderId="0" xfId="2" applyFont="1" applyAlignment="1">
      <alignment vertical="center"/>
    </xf>
    <xf numFmtId="0" fontId="53" fillId="0" borderId="43" xfId="2" applyFont="1" applyBorder="1" applyAlignment="1">
      <alignment horizontal="center" vertical="top" wrapText="1"/>
    </xf>
    <xf numFmtId="0" fontId="53" fillId="0" borderId="44" xfId="2" applyFont="1" applyBorder="1" applyAlignment="1">
      <alignment horizontal="left" vertical="top" wrapText="1"/>
    </xf>
    <xf numFmtId="0" fontId="54" fillId="0" borderId="0" xfId="2" applyFont="1" applyBorder="1" applyAlignment="1">
      <alignment horizontal="center" vertical="center" wrapText="1"/>
    </xf>
    <xf numFmtId="0" fontId="54" fillId="0" borderId="0" xfId="2" applyFont="1" applyAlignment="1">
      <alignment vertical="center"/>
    </xf>
    <xf numFmtId="0" fontId="47" fillId="0" borderId="47" xfId="2" applyFont="1" applyBorder="1" applyAlignment="1">
      <alignment horizontal="center" vertical="top" wrapText="1"/>
    </xf>
    <xf numFmtId="0" fontId="47" fillId="0" borderId="47" xfId="2" applyFont="1" applyBorder="1" applyAlignment="1">
      <alignment horizontal="left" vertical="top" wrapText="1"/>
    </xf>
    <xf numFmtId="0" fontId="53" fillId="0" borderId="47" xfId="2" applyFont="1" applyBorder="1" applyAlignment="1">
      <alignment horizontal="center" vertical="top" wrapText="1"/>
    </xf>
    <xf numFmtId="167" fontId="49" fillId="0" borderId="0" xfId="2" applyNumberFormat="1" applyFont="1" applyBorder="1" applyAlignment="1">
      <alignment horizontal="center" vertical="center" wrapText="1"/>
    </xf>
    <xf numFmtId="167" fontId="52" fillId="0" borderId="0" xfId="2" applyNumberFormat="1" applyFont="1" applyBorder="1" applyAlignment="1">
      <alignment horizontal="center" vertical="center" wrapText="1"/>
    </xf>
    <xf numFmtId="0" fontId="47" fillId="0" borderId="47" xfId="2" applyFont="1" applyFill="1" applyBorder="1" applyAlignment="1">
      <alignment horizontal="center" vertical="top" wrapText="1"/>
    </xf>
    <xf numFmtId="0" fontId="47" fillId="0" borderId="47" xfId="2" applyFont="1" applyFill="1" applyBorder="1" applyAlignment="1">
      <alignment horizontal="left" vertical="top" wrapText="1"/>
    </xf>
    <xf numFmtId="167" fontId="52" fillId="0" borderId="0" xfId="2" applyNumberFormat="1" applyFont="1" applyFill="1" applyBorder="1" applyAlignment="1">
      <alignment horizontal="center" vertical="center" wrapText="1"/>
    </xf>
    <xf numFmtId="0" fontId="49" fillId="0" borderId="0" xfId="2" applyFont="1" applyFill="1" applyAlignment="1">
      <alignment vertical="center"/>
    </xf>
    <xf numFmtId="0" fontId="53" fillId="0" borderId="48" xfId="2" applyFont="1" applyFill="1" applyBorder="1" applyAlignment="1">
      <alignment horizontal="center" vertical="top" wrapText="1"/>
    </xf>
    <xf numFmtId="0" fontId="53" fillId="0" borderId="47" xfId="2" applyFont="1" applyFill="1" applyBorder="1" applyAlignment="1">
      <alignment horizontal="left" vertical="top" wrapText="1"/>
    </xf>
    <xf numFmtId="0" fontId="53" fillId="0" borderId="51" xfId="2" applyFont="1" applyFill="1" applyBorder="1" applyAlignment="1">
      <alignment horizontal="center" vertical="top" wrapText="1"/>
    </xf>
    <xf numFmtId="0" fontId="53" fillId="0" borderId="52" xfId="2" applyFont="1" applyFill="1" applyBorder="1" applyAlignment="1">
      <alignment horizontal="left" vertical="top" wrapText="1"/>
    </xf>
    <xf numFmtId="165" fontId="55" fillId="0" borderId="0" xfId="2" applyNumberFormat="1" applyFont="1" applyFill="1" applyAlignment="1">
      <alignment vertical="center"/>
    </xf>
    <xf numFmtId="0" fontId="52" fillId="0" borderId="0" xfId="2" applyFont="1" applyFill="1" applyAlignment="1">
      <alignment vertical="center"/>
    </xf>
    <xf numFmtId="0" fontId="45" fillId="0" borderId="40" xfId="2" applyFont="1" applyBorder="1" applyAlignment="1">
      <alignment horizontal="center" vertical="top" wrapText="1"/>
    </xf>
    <xf numFmtId="0" fontId="45" fillId="0" borderId="38" xfId="2" applyFont="1" applyBorder="1" applyAlignment="1">
      <alignment horizontal="left" vertical="top" wrapText="1"/>
    </xf>
    <xf numFmtId="0" fontId="56" fillId="0" borderId="0" xfId="2" applyFont="1" applyBorder="1" applyAlignment="1">
      <alignment horizontal="center" vertical="center" wrapText="1"/>
    </xf>
    <xf numFmtId="0" fontId="56" fillId="0" borderId="0" xfId="2" applyFont="1" applyAlignment="1">
      <alignment vertical="center"/>
    </xf>
    <xf numFmtId="49" fontId="50" fillId="0" borderId="48" xfId="2" applyNumberFormat="1" applyFont="1" applyBorder="1" applyAlignment="1">
      <alignment horizontal="center" vertical="top"/>
    </xf>
    <xf numFmtId="0" fontId="50" fillId="0" borderId="47" xfId="2" applyFont="1" applyBorder="1" applyAlignment="1">
      <alignment horizontal="left" vertical="top" wrapText="1"/>
    </xf>
    <xf numFmtId="168" fontId="51" fillId="0" borderId="0" xfId="2" applyNumberFormat="1" applyFont="1" applyBorder="1" applyAlignment="1">
      <alignment horizontal="right" vertical="center"/>
    </xf>
    <xf numFmtId="168" fontId="52" fillId="0" borderId="0" xfId="2" applyNumberFormat="1" applyFont="1" applyBorder="1" applyAlignment="1">
      <alignment horizontal="right" vertical="center"/>
    </xf>
    <xf numFmtId="49" fontId="53" fillId="0" borderId="48" xfId="2" applyNumberFormat="1" applyFont="1" applyBorder="1" applyAlignment="1">
      <alignment horizontal="center" vertical="top"/>
    </xf>
    <xf numFmtId="168" fontId="54" fillId="0" borderId="0" xfId="2" applyNumberFormat="1" applyFont="1" applyBorder="1" applyAlignment="1">
      <alignment horizontal="right" vertical="center"/>
    </xf>
    <xf numFmtId="49" fontId="47" fillId="0" borderId="48" xfId="2" applyNumberFormat="1" applyFont="1" applyBorder="1" applyAlignment="1">
      <alignment horizontal="center" vertical="top"/>
    </xf>
    <xf numFmtId="168" fontId="49" fillId="0" borderId="0" xfId="2" applyNumberFormat="1" applyFont="1" applyBorder="1" applyAlignment="1">
      <alignment vertical="center"/>
    </xf>
    <xf numFmtId="168" fontId="52" fillId="0" borderId="0" xfId="2" applyNumberFormat="1" applyFont="1" applyBorder="1" applyAlignment="1">
      <alignment vertical="center"/>
    </xf>
    <xf numFmtId="49" fontId="47" fillId="0" borderId="47" xfId="2" applyNumberFormat="1" applyFont="1" applyBorder="1" applyAlignment="1">
      <alignment horizontal="center" vertical="top"/>
    </xf>
    <xf numFmtId="168" fontId="48" fillId="0" borderId="0" xfId="2" applyNumberFormat="1" applyFont="1" applyBorder="1" applyAlignment="1">
      <alignment horizontal="right" vertical="center"/>
    </xf>
    <xf numFmtId="49" fontId="53" fillId="0" borderId="47" xfId="2" applyNumberFormat="1" applyFont="1" applyBorder="1" applyAlignment="1">
      <alignment horizontal="center" vertical="top"/>
    </xf>
    <xf numFmtId="168" fontId="57" fillId="0" borderId="0" xfId="2" applyNumberFormat="1" applyFont="1" applyBorder="1" applyAlignment="1">
      <alignment horizontal="right" vertical="center"/>
    </xf>
    <xf numFmtId="0" fontId="57" fillId="0" borderId="0" xfId="2" applyFont="1" applyAlignment="1">
      <alignment vertical="center"/>
    </xf>
    <xf numFmtId="49" fontId="45" fillId="0" borderId="0" xfId="2" applyNumberFormat="1" applyFont="1" applyBorder="1" applyAlignment="1">
      <alignment horizontal="center" vertical="center"/>
    </xf>
    <xf numFmtId="0" fontId="45" fillId="0" borderId="0" xfId="2" applyFont="1" applyBorder="1" applyAlignment="1">
      <alignment horizontal="left" vertical="center" wrapText="1"/>
    </xf>
    <xf numFmtId="0" fontId="45" fillId="0" borderId="0" xfId="2" applyFont="1" applyBorder="1" applyAlignment="1">
      <alignment vertical="center" wrapText="1"/>
    </xf>
    <xf numFmtId="166" fontId="45" fillId="0" borderId="0" xfId="2" applyNumberFormat="1" applyFont="1" applyBorder="1" applyAlignment="1">
      <alignment horizontal="right" vertical="center"/>
    </xf>
    <xf numFmtId="168" fontId="49" fillId="0" borderId="0" xfId="2" applyNumberFormat="1" applyFont="1" applyBorder="1" applyAlignment="1">
      <alignment horizontal="right" vertical="center"/>
    </xf>
    <xf numFmtId="49" fontId="48" fillId="0" borderId="0" xfId="2" applyNumberFormat="1" applyFont="1" applyBorder="1" applyAlignment="1">
      <alignment horizontal="center" vertical="center"/>
    </xf>
    <xf numFmtId="0" fontId="48" fillId="0" borderId="0" xfId="2" applyFont="1" applyBorder="1" applyAlignment="1">
      <alignment horizontal="left" vertical="center" wrapText="1"/>
    </xf>
    <xf numFmtId="166" fontId="51" fillId="0" borderId="0" xfId="2" applyNumberFormat="1" applyFont="1" applyBorder="1" applyAlignment="1">
      <alignment vertical="center" wrapText="1"/>
    </xf>
    <xf numFmtId="49" fontId="59" fillId="0" borderId="0" xfId="2" applyNumberFormat="1" applyFont="1" applyBorder="1" applyAlignment="1">
      <alignment horizontal="center" vertical="center"/>
    </xf>
    <xf numFmtId="0" fontId="59" fillId="0" borderId="0" xfId="2" applyFont="1" applyBorder="1" applyAlignment="1">
      <alignment horizontal="left" vertical="center" wrapText="1"/>
    </xf>
    <xf numFmtId="0" fontId="60" fillId="0" borderId="0" xfId="2" applyFont="1" applyBorder="1" applyAlignment="1">
      <alignment horizontal="center" vertical="center" wrapText="1"/>
    </xf>
    <xf numFmtId="168" fontId="59" fillId="0" borderId="0" xfId="2" applyNumberFormat="1" applyFont="1" applyBorder="1" applyAlignment="1">
      <alignment vertical="center"/>
    </xf>
    <xf numFmtId="0" fontId="59" fillId="0" borderId="0" xfId="2" applyFont="1" applyAlignment="1">
      <alignment vertical="center"/>
    </xf>
    <xf numFmtId="0" fontId="61" fillId="0" borderId="0" xfId="2" applyFont="1" applyAlignment="1">
      <alignment vertical="center"/>
    </xf>
    <xf numFmtId="49" fontId="48" fillId="0" borderId="0" xfId="2" applyNumberFormat="1" applyFont="1" applyAlignment="1">
      <alignment horizontal="center" vertical="center"/>
    </xf>
    <xf numFmtId="0" fontId="48" fillId="0" borderId="0" xfId="2" applyFont="1" applyAlignment="1">
      <alignment horizontal="left" vertical="center" wrapText="1"/>
    </xf>
    <xf numFmtId="0" fontId="51" fillId="0" borderId="0" xfId="2" applyFont="1" applyAlignment="1">
      <alignment vertical="center" wrapText="1"/>
    </xf>
    <xf numFmtId="0" fontId="48" fillId="0" borderId="0" xfId="2" applyFont="1" applyAlignment="1">
      <alignment horizontal="left" vertical="center"/>
    </xf>
    <xf numFmtId="0" fontId="19" fillId="0" borderId="0" xfId="56" applyNumberFormat="1" applyFont="1" applyFill="1" applyAlignment="1" applyProtection="1"/>
    <xf numFmtId="0" fontId="19" fillId="0" borderId="0" xfId="56" applyNumberFormat="1" applyFont="1" applyFill="1" applyBorder="1" applyAlignment="1" applyProtection="1"/>
    <xf numFmtId="0" fontId="62" fillId="0" borderId="0" xfId="56" applyNumberFormat="1" applyFont="1" applyFill="1" applyBorder="1" applyAlignment="1" applyProtection="1"/>
    <xf numFmtId="0" fontId="19" fillId="0" borderId="0" xfId="56" applyFont="1" applyFill="1" applyBorder="1"/>
    <xf numFmtId="0" fontId="19" fillId="0" borderId="0" xfId="56" applyFont="1" applyFill="1"/>
    <xf numFmtId="0" fontId="15" fillId="0" borderId="0" xfId="1" applyFont="1" applyAlignment="1"/>
    <xf numFmtId="0" fontId="64" fillId="0" borderId="0" xfId="56" applyNumberFormat="1" applyFont="1" applyFill="1" applyBorder="1" applyAlignment="1" applyProtection="1">
      <alignment horizontal="left" vertical="top" wrapText="1"/>
    </xf>
    <xf numFmtId="0" fontId="63" fillId="0" borderId="0" xfId="56" applyNumberFormat="1" applyFont="1" applyFill="1" applyBorder="1" applyAlignment="1" applyProtection="1">
      <alignment horizontal="center"/>
    </xf>
    <xf numFmtId="0" fontId="19" fillId="0" borderId="0" xfId="56" applyFont="1" applyFill="1" applyBorder="1" applyAlignment="1">
      <alignment horizontal="center"/>
    </xf>
    <xf numFmtId="0" fontId="63" fillId="0" borderId="0" xfId="56" applyNumberFormat="1" applyFont="1" applyFill="1" applyBorder="1" applyAlignment="1" applyProtection="1">
      <alignment horizontal="center" vertical="top"/>
    </xf>
    <xf numFmtId="0" fontId="65" fillId="0" borderId="0" xfId="56" applyNumberFormat="1" applyFont="1" applyFill="1" applyAlignment="1" applyProtection="1">
      <alignment horizontal="center"/>
    </xf>
    <xf numFmtId="0" fontId="62" fillId="0" borderId="0" xfId="56" applyFont="1" applyFill="1" applyAlignment="1">
      <alignment horizontal="center"/>
    </xf>
    <xf numFmtId="0" fontId="19" fillId="2" borderId="54" xfId="56" applyNumberFormat="1" applyFont="1" applyFill="1" applyBorder="1" applyAlignment="1" applyProtection="1"/>
    <xf numFmtId="0" fontId="19" fillId="2" borderId="0" xfId="56" applyFont="1" applyFill="1"/>
    <xf numFmtId="0" fontId="19" fillId="2" borderId="55" xfId="56" applyNumberFormat="1" applyFont="1" applyFill="1" applyBorder="1" applyAlignment="1" applyProtection="1"/>
    <xf numFmtId="0" fontId="19" fillId="2" borderId="0" xfId="56" applyNumberFormat="1" applyFont="1" applyFill="1" applyBorder="1" applyAlignment="1" applyProtection="1"/>
    <xf numFmtId="0" fontId="70" fillId="2" borderId="13" xfId="56" applyNumberFormat="1" applyFont="1" applyFill="1" applyBorder="1" applyAlignment="1" applyProtection="1">
      <alignment horizontal="center" vertical="center" wrapText="1"/>
    </xf>
    <xf numFmtId="0" fontId="19" fillId="2" borderId="0" xfId="56" applyNumberFormat="1" applyFont="1" applyFill="1" applyAlignment="1" applyProtection="1">
      <alignment vertical="center"/>
    </xf>
    <xf numFmtId="49" fontId="72" fillId="0" borderId="16" xfId="56" applyNumberFormat="1" applyFont="1" applyFill="1" applyBorder="1" applyAlignment="1">
      <alignment horizontal="center" vertical="center" wrapText="1"/>
    </xf>
    <xf numFmtId="49" fontId="72" fillId="0" borderId="17" xfId="56" applyNumberFormat="1" applyFont="1" applyFill="1" applyBorder="1" applyAlignment="1">
      <alignment horizontal="center" vertical="center" wrapText="1"/>
    </xf>
    <xf numFmtId="1" fontId="73" fillId="0" borderId="17" xfId="49" applyNumberFormat="1" applyFont="1" applyFill="1" applyBorder="1" applyAlignment="1">
      <alignment vertical="center"/>
    </xf>
    <xf numFmtId="1" fontId="72" fillId="0" borderId="17" xfId="49" applyNumberFormat="1" applyFont="1" applyFill="1" applyBorder="1" applyAlignment="1">
      <alignment vertical="center"/>
    </xf>
    <xf numFmtId="0" fontId="19" fillId="2" borderId="0" xfId="56" applyFont="1" applyFill="1" applyAlignment="1">
      <alignment vertical="center"/>
    </xf>
    <xf numFmtId="49" fontId="64" fillId="2" borderId="19" xfId="56" applyNumberFormat="1" applyFont="1" applyFill="1" applyBorder="1" applyAlignment="1">
      <alignment horizontal="center" vertical="center" wrapText="1"/>
    </xf>
    <xf numFmtId="49" fontId="64" fillId="2" borderId="20" xfId="56" applyNumberFormat="1" applyFont="1" applyFill="1" applyBorder="1" applyAlignment="1">
      <alignment horizontal="center" vertical="center" wrapText="1"/>
    </xf>
    <xf numFmtId="1" fontId="11" fillId="2" borderId="20" xfId="49" applyNumberFormat="1" applyFont="1" applyFill="1" applyBorder="1" applyAlignment="1">
      <alignment horizontal="center" vertical="center"/>
    </xf>
    <xf numFmtId="0" fontId="19" fillId="2" borderId="0" xfId="56" applyNumberFormat="1" applyFont="1" applyFill="1" applyAlignment="1" applyProtection="1"/>
    <xf numFmtId="49" fontId="64" fillId="2" borderId="5" xfId="56" applyNumberFormat="1" applyFont="1" applyFill="1" applyBorder="1" applyAlignment="1">
      <alignment horizontal="center" vertical="center" wrapText="1"/>
    </xf>
    <xf numFmtId="49" fontId="64" fillId="2" borderId="1" xfId="56" applyNumberFormat="1" applyFont="1" applyFill="1" applyBorder="1" applyAlignment="1">
      <alignment horizontal="center" vertical="center" wrapText="1"/>
    </xf>
    <xf numFmtId="1" fontId="11" fillId="2" borderId="1" xfId="49" applyNumberFormat="1" applyFont="1" applyFill="1" applyBorder="1" applyAlignment="1">
      <alignment horizontal="center" vertical="center"/>
    </xf>
    <xf numFmtId="0" fontId="15" fillId="2" borderId="1" xfId="2" applyFont="1" applyFill="1" applyBorder="1" applyAlignment="1">
      <alignment horizontal="left" vertical="center" wrapText="1"/>
    </xf>
    <xf numFmtId="1" fontId="7" fillId="2" borderId="1" xfId="49" applyNumberFormat="1" applyFont="1" applyFill="1" applyBorder="1" applyAlignment="1">
      <alignment horizontal="center" vertical="center"/>
    </xf>
    <xf numFmtId="1" fontId="74" fillId="2" borderId="1" xfId="49" applyNumberFormat="1" applyFont="1" applyFill="1" applyBorder="1" applyAlignment="1">
      <alignment horizontal="center" vertical="center"/>
    </xf>
    <xf numFmtId="1" fontId="7" fillId="2" borderId="6" xfId="49" applyNumberFormat="1" applyFont="1" applyFill="1" applyBorder="1" applyAlignment="1">
      <alignment horizontal="center" vertical="center"/>
    </xf>
    <xf numFmtId="1" fontId="11" fillId="2" borderId="6" xfId="49" applyNumberFormat="1" applyFont="1" applyFill="1" applyBorder="1" applyAlignment="1">
      <alignment horizontal="center" vertical="center"/>
    </xf>
    <xf numFmtId="1" fontId="15" fillId="2" borderId="1" xfId="49" applyNumberFormat="1" applyFont="1" applyFill="1" applyBorder="1" applyAlignment="1">
      <alignment horizontal="center" vertical="center"/>
    </xf>
    <xf numFmtId="49" fontId="15" fillId="2" borderId="1" xfId="56" applyNumberFormat="1" applyFont="1" applyFill="1" applyBorder="1" applyAlignment="1">
      <alignment horizontal="center" vertical="center" wrapText="1"/>
    </xf>
    <xf numFmtId="1" fontId="75" fillId="2" borderId="1" xfId="49" applyNumberFormat="1" applyFont="1" applyFill="1" applyBorder="1" applyAlignment="1">
      <alignment horizontal="center" vertical="center"/>
    </xf>
    <xf numFmtId="49" fontId="15" fillId="3" borderId="1" xfId="56" applyNumberFormat="1" applyFont="1" applyFill="1" applyBorder="1" applyAlignment="1">
      <alignment horizontal="center" vertical="center" wrapText="1"/>
    </xf>
    <xf numFmtId="1" fontId="7" fillId="3" borderId="1" xfId="49" applyNumberFormat="1" applyFont="1" applyFill="1" applyBorder="1" applyAlignment="1">
      <alignment horizontal="center" vertical="center"/>
    </xf>
    <xf numFmtId="49" fontId="64" fillId="0" borderId="5" xfId="56" applyNumberFormat="1" applyFont="1" applyFill="1" applyBorder="1" applyAlignment="1">
      <alignment horizontal="center" vertical="center" wrapText="1"/>
    </xf>
    <xf numFmtId="49" fontId="15" fillId="0" borderId="1" xfId="56" applyNumberFormat="1" applyFont="1" applyFill="1" applyBorder="1" applyAlignment="1">
      <alignment horizontal="center" vertical="center" wrapText="1"/>
    </xf>
    <xf numFmtId="1" fontId="11" fillId="0" borderId="1" xfId="49" applyNumberFormat="1" applyFont="1" applyFill="1" applyBorder="1" applyAlignment="1">
      <alignment horizontal="center" vertical="center"/>
    </xf>
    <xf numFmtId="1" fontId="15" fillId="0" borderId="1" xfId="49" applyNumberFormat="1" applyFont="1" applyFill="1" applyBorder="1" applyAlignment="1">
      <alignment horizontal="center" vertical="center"/>
    </xf>
    <xf numFmtId="49" fontId="15" fillId="0" borderId="5" xfId="56" applyNumberFormat="1" applyFont="1" applyFill="1" applyBorder="1" applyAlignment="1">
      <alignment horizontal="center" vertical="center" wrapText="1"/>
    </xf>
    <xf numFmtId="1" fontId="64" fillId="2" borderId="1" xfId="49" applyNumberFormat="1" applyFont="1" applyFill="1" applyBorder="1" applyAlignment="1">
      <alignment horizontal="center" vertical="center"/>
    </xf>
    <xf numFmtId="1" fontId="64" fillId="0" borderId="1" xfId="49" applyNumberFormat="1" applyFont="1" applyFill="1" applyBorder="1" applyAlignment="1">
      <alignment horizontal="center" vertical="center"/>
    </xf>
    <xf numFmtId="49" fontId="15" fillId="0" borderId="5" xfId="2" applyNumberFormat="1" applyFont="1" applyFill="1" applyBorder="1" applyAlignment="1">
      <alignment horizontal="center" vertical="center" wrapText="1"/>
    </xf>
    <xf numFmtId="1" fontId="7" fillId="0" borderId="1" xfId="49" applyNumberFormat="1" applyFont="1" applyFill="1" applyBorder="1" applyAlignment="1">
      <alignment horizontal="center" vertical="center"/>
    </xf>
    <xf numFmtId="49" fontId="15" fillId="2" borderId="5" xfId="2" applyNumberFormat="1" applyFont="1" applyFill="1" applyBorder="1" applyAlignment="1">
      <alignment horizontal="center" vertical="center" wrapText="1"/>
    </xf>
    <xf numFmtId="1" fontId="7" fillId="2" borderId="12" xfId="49" applyNumberFormat="1" applyFont="1" applyFill="1" applyBorder="1" applyAlignment="1">
      <alignment horizontal="center" vertical="center"/>
    </xf>
    <xf numFmtId="49" fontId="64" fillId="2" borderId="5" xfId="2" applyNumberFormat="1" applyFont="1" applyFill="1" applyBorder="1" applyAlignment="1">
      <alignment horizontal="center" vertical="center" wrapText="1"/>
    </xf>
    <xf numFmtId="49" fontId="15" fillId="2" borderId="22" xfId="2" applyNumberFormat="1" applyFont="1" applyFill="1" applyBorder="1" applyAlignment="1">
      <alignment horizontal="center" vertical="center" wrapText="1"/>
    </xf>
    <xf numFmtId="49" fontId="15" fillId="2" borderId="1" xfId="2" applyNumberFormat="1" applyFont="1" applyFill="1" applyBorder="1" applyAlignment="1">
      <alignment horizontal="center" vertical="center" wrapText="1"/>
    </xf>
    <xf numFmtId="49" fontId="64" fillId="2" borderId="1" xfId="2" applyNumberFormat="1" applyFont="1" applyFill="1" applyBorder="1" applyAlignment="1">
      <alignment horizontal="center" vertical="center" wrapText="1"/>
    </xf>
    <xf numFmtId="1" fontId="76" fillId="2" borderId="1" xfId="1" applyNumberFormat="1" applyFont="1" applyFill="1" applyBorder="1" applyAlignment="1">
      <alignment horizontal="center" vertical="center"/>
    </xf>
    <xf numFmtId="49" fontId="75" fillId="2" borderId="5" xfId="56" applyNumberFormat="1" applyFont="1" applyFill="1" applyBorder="1" applyAlignment="1">
      <alignment horizontal="center" vertical="center" wrapText="1"/>
    </xf>
    <xf numFmtId="49" fontId="75" fillId="3" borderId="5" xfId="56" applyNumberFormat="1" applyFont="1" applyFill="1" applyBorder="1" applyAlignment="1">
      <alignment horizontal="center" vertical="center" wrapText="1"/>
    </xf>
    <xf numFmtId="49" fontId="15" fillId="2" borderId="5" xfId="56" applyNumberFormat="1" applyFont="1" applyFill="1" applyBorder="1" applyAlignment="1">
      <alignment horizontal="center" vertical="center" wrapText="1"/>
    </xf>
    <xf numFmtId="49" fontId="15" fillId="2" borderId="12" xfId="2" applyNumberFormat="1" applyFont="1" applyFill="1" applyBorder="1" applyAlignment="1">
      <alignment horizontal="center" vertical="center" wrapText="1"/>
    </xf>
    <xf numFmtId="1" fontId="19" fillId="2" borderId="0" xfId="56" applyNumberFormat="1" applyFont="1" applyFill="1"/>
    <xf numFmtId="0" fontId="77" fillId="2" borderId="1" xfId="1" applyFont="1" applyFill="1" applyBorder="1" applyAlignment="1">
      <alignment horizontal="center" vertical="center"/>
    </xf>
    <xf numFmtId="0" fontId="76" fillId="2" borderId="1" xfId="1" applyFont="1" applyFill="1" applyBorder="1" applyAlignment="1">
      <alignment horizontal="center" vertical="center"/>
    </xf>
    <xf numFmtId="49" fontId="15" fillId="0" borderId="1" xfId="2" applyNumberFormat="1" applyFont="1" applyFill="1" applyBorder="1" applyAlignment="1">
      <alignment horizontal="center" vertical="center" wrapText="1"/>
    </xf>
    <xf numFmtId="0" fontId="76" fillId="0" borderId="1" xfId="1" applyFont="1" applyFill="1" applyBorder="1" applyAlignment="1">
      <alignment horizontal="center" vertical="center"/>
    </xf>
    <xf numFmtId="1" fontId="75" fillId="0" borderId="1" xfId="49" applyNumberFormat="1" applyFont="1" applyFill="1" applyBorder="1" applyAlignment="1">
      <alignment horizontal="center" vertical="center"/>
    </xf>
    <xf numFmtId="1" fontId="11" fillId="2" borderId="12" xfId="49" applyNumberFormat="1" applyFont="1" applyFill="1" applyBorder="1" applyAlignment="1">
      <alignment horizontal="center" vertical="center"/>
    </xf>
    <xf numFmtId="1" fontId="75" fillId="2" borderId="12" xfId="49" applyNumberFormat="1" applyFont="1" applyFill="1" applyBorder="1" applyAlignment="1">
      <alignment horizontal="center" vertical="center"/>
    </xf>
    <xf numFmtId="49" fontId="64" fillId="2" borderId="22" xfId="2" applyNumberFormat="1" applyFont="1" applyFill="1" applyBorder="1" applyAlignment="1">
      <alignment horizontal="center" vertical="center" wrapText="1"/>
    </xf>
    <xf numFmtId="49" fontId="64" fillId="2" borderId="12" xfId="2" applyNumberFormat="1" applyFont="1" applyFill="1" applyBorder="1" applyAlignment="1">
      <alignment horizontal="center" vertical="center" wrapText="1"/>
    </xf>
    <xf numFmtId="1" fontId="74" fillId="2" borderId="12" xfId="49" applyNumberFormat="1" applyFont="1" applyFill="1" applyBorder="1" applyAlignment="1">
      <alignment horizontal="center" vertical="center"/>
    </xf>
    <xf numFmtId="0" fontId="15" fillId="2" borderId="16" xfId="56" applyFont="1" applyFill="1" applyBorder="1" applyAlignment="1">
      <alignment horizontal="center" vertical="center" wrapText="1"/>
    </xf>
    <xf numFmtId="49" fontId="15" fillId="2" borderId="17" xfId="56" applyNumberFormat="1" applyFont="1" applyFill="1" applyBorder="1" applyAlignment="1">
      <alignment horizontal="center" vertical="center" wrapText="1"/>
    </xf>
    <xf numFmtId="1" fontId="11" fillId="2" borderId="17" xfId="56" applyNumberFormat="1" applyFont="1" applyFill="1" applyBorder="1" applyAlignment="1">
      <alignment horizontal="center" vertical="center"/>
    </xf>
    <xf numFmtId="0" fontId="19" fillId="2" borderId="59" xfId="56" applyNumberFormat="1" applyFont="1" applyFill="1" applyBorder="1" applyAlignment="1" applyProtection="1"/>
    <xf numFmtId="0" fontId="62" fillId="2" borderId="59" xfId="56" applyNumberFormat="1" applyFont="1" applyFill="1" applyBorder="1" applyAlignment="1" applyProtection="1"/>
    <xf numFmtId="166" fontId="19" fillId="2" borderId="0" xfId="56" applyNumberFormat="1" applyFont="1" applyFill="1" applyAlignment="1" applyProtection="1"/>
    <xf numFmtId="1" fontId="19" fillId="0" borderId="0" xfId="56" applyNumberFormat="1" applyFont="1" applyFill="1" applyAlignment="1" applyProtection="1"/>
    <xf numFmtId="1" fontId="62" fillId="0" borderId="0" xfId="56" applyNumberFormat="1" applyFont="1" applyFill="1" applyAlignment="1" applyProtection="1"/>
    <xf numFmtId="0" fontId="62" fillId="0" borderId="0" xfId="56" applyNumberFormat="1" applyFont="1" applyFill="1" applyAlignment="1" applyProtection="1"/>
    <xf numFmtId="0" fontId="14" fillId="0" borderId="0" xfId="2"/>
    <xf numFmtId="0" fontId="15" fillId="0" borderId="0" xfId="2" applyFont="1"/>
    <xf numFmtId="0" fontId="7" fillId="0" borderId="39" xfId="2" applyFont="1" applyBorder="1" applyAlignment="1">
      <alignment horizontal="center" vertical="center" textRotation="90" wrapText="1"/>
    </xf>
    <xf numFmtId="0" fontId="7" fillId="0" borderId="36" xfId="2" applyFont="1" applyBorder="1" applyAlignment="1">
      <alignment horizontal="center" vertical="center" wrapText="1"/>
    </xf>
    <xf numFmtId="0" fontId="7" fillId="0" borderId="39" xfId="2" applyFont="1" applyBorder="1" applyAlignment="1">
      <alignment horizontal="center" vertical="center" wrapText="1"/>
    </xf>
    <xf numFmtId="0" fontId="11" fillId="0" borderId="39" xfId="2" applyFont="1" applyBorder="1" applyAlignment="1">
      <alignment vertical="center" wrapText="1"/>
    </xf>
    <xf numFmtId="0" fontId="15" fillId="0" borderId="0" xfId="2" applyFont="1" applyFill="1" applyAlignment="1"/>
    <xf numFmtId="0" fontId="15" fillId="0" borderId="0" xfId="2" applyFont="1" applyFill="1"/>
    <xf numFmtId="0" fontId="15" fillId="0" borderId="0" xfId="2" applyFont="1" applyFill="1" applyAlignment="1">
      <alignment horizontal="right"/>
    </xf>
    <xf numFmtId="0" fontId="7" fillId="0" borderId="0" xfId="2" applyFont="1" applyFill="1" applyAlignment="1">
      <alignment horizontal="left"/>
    </xf>
    <xf numFmtId="0" fontId="15" fillId="0" borderId="1" xfId="2" applyFont="1" applyFill="1" applyBorder="1" applyAlignment="1">
      <alignment horizontal="center" vertical="top" wrapText="1"/>
    </xf>
    <xf numFmtId="0" fontId="48" fillId="0" borderId="0" xfId="2" applyFont="1" applyFill="1" applyAlignment="1">
      <alignment vertical="center"/>
    </xf>
    <xf numFmtId="49" fontId="80" fillId="0" borderId="0" xfId="2" applyNumberFormat="1" applyFont="1" applyFill="1" applyAlignment="1">
      <alignment vertical="center"/>
    </xf>
    <xf numFmtId="49" fontId="48" fillId="0" borderId="0" xfId="2" applyNumberFormat="1" applyFont="1" applyFill="1" applyAlignment="1">
      <alignment vertical="center"/>
    </xf>
    <xf numFmtId="0" fontId="48" fillId="0" borderId="0" xfId="2" applyFont="1" applyFill="1" applyAlignment="1">
      <alignment horizontal="justify" vertical="center"/>
    </xf>
    <xf numFmtId="166" fontId="48" fillId="0" borderId="0" xfId="2" applyNumberFormat="1" applyFont="1" applyFill="1" applyAlignment="1">
      <alignment vertical="center"/>
    </xf>
    <xf numFmtId="166" fontId="82" fillId="0" borderId="0" xfId="2" applyNumberFormat="1" applyFont="1" applyFill="1" applyAlignment="1">
      <alignment vertical="center"/>
    </xf>
    <xf numFmtId="0" fontId="81" fillId="0" borderId="0" xfId="1" applyFont="1" applyAlignment="1">
      <alignment horizontal="center"/>
    </xf>
    <xf numFmtId="0" fontId="81" fillId="0" borderId="0" xfId="1" applyFont="1" applyAlignment="1"/>
    <xf numFmtId="0" fontId="43" fillId="0" borderId="0" xfId="2" applyFont="1" applyFill="1" applyAlignment="1">
      <alignment vertical="center"/>
    </xf>
    <xf numFmtId="49" fontId="49" fillId="0" borderId="0" xfId="2" applyNumberFormat="1" applyFont="1" applyFill="1" applyAlignment="1">
      <alignment vertical="center"/>
    </xf>
    <xf numFmtId="0" fontId="43" fillId="0" borderId="0" xfId="2" applyFont="1" applyFill="1" applyAlignment="1">
      <alignment horizontal="justify" vertical="center"/>
    </xf>
    <xf numFmtId="0" fontId="83" fillId="0" borderId="0" xfId="2" applyFont="1" applyFill="1" applyAlignment="1">
      <alignment vertical="center" wrapText="1"/>
    </xf>
    <xf numFmtId="0" fontId="46" fillId="0" borderId="0" xfId="2" applyFont="1" applyFill="1" applyAlignment="1">
      <alignment vertical="center"/>
    </xf>
    <xf numFmtId="0" fontId="46" fillId="0" borderId="0" xfId="2" applyFont="1" applyFill="1" applyAlignment="1">
      <alignment horizontal="justify" vertical="center"/>
    </xf>
    <xf numFmtId="166" fontId="85" fillId="0" borderId="0" xfId="2" applyNumberFormat="1" applyFont="1" applyFill="1" applyAlignment="1">
      <alignment horizontal="right" vertical="center"/>
    </xf>
    <xf numFmtId="0" fontId="44" fillId="0" borderId="0" xfId="2" applyFont="1" applyFill="1" applyAlignment="1">
      <alignment vertical="center"/>
    </xf>
    <xf numFmtId="0" fontId="51" fillId="0" borderId="0" xfId="2" applyFont="1" applyFill="1" applyAlignment="1">
      <alignment vertical="center"/>
    </xf>
    <xf numFmtId="2" fontId="85" fillId="0" borderId="53" xfId="2" applyNumberFormat="1" applyFont="1" applyFill="1" applyBorder="1" applyAlignment="1">
      <alignment horizontal="center" vertical="center"/>
    </xf>
    <xf numFmtId="2" fontId="85" fillId="0" borderId="46" xfId="2" applyNumberFormat="1" applyFont="1" applyFill="1" applyBorder="1" applyAlignment="1">
      <alignment horizontal="center" vertical="center" wrapText="1"/>
    </xf>
    <xf numFmtId="4" fontId="85" fillId="0" borderId="44" xfId="2" applyNumberFormat="1" applyFont="1" applyFill="1" applyBorder="1" applyAlignment="1">
      <alignment horizontal="center" vertical="center"/>
    </xf>
    <xf numFmtId="165" fontId="85" fillId="0" borderId="44" xfId="2" applyNumberFormat="1" applyFont="1" applyFill="1" applyBorder="1" applyAlignment="1">
      <alignment horizontal="center" vertical="center"/>
    </xf>
    <xf numFmtId="49" fontId="85" fillId="0" borderId="47" xfId="2" applyNumberFormat="1" applyFont="1" applyFill="1" applyBorder="1" applyAlignment="1">
      <alignment horizontal="center" vertical="top"/>
    </xf>
    <xf numFmtId="0" fontId="85" fillId="0" borderId="49" xfId="2" applyFont="1" applyFill="1" applyBorder="1" applyAlignment="1">
      <alignment vertical="top" wrapText="1"/>
    </xf>
    <xf numFmtId="167" fontId="85" fillId="0" borderId="47" xfId="2" applyNumberFormat="1" applyFont="1" applyFill="1" applyBorder="1" applyAlignment="1">
      <alignment vertical="top" wrapText="1"/>
    </xf>
    <xf numFmtId="165" fontId="85" fillId="0" borderId="47" xfId="2" applyNumberFormat="1" applyFont="1" applyFill="1" applyBorder="1" applyAlignment="1">
      <alignment horizontal="right" vertical="top"/>
    </xf>
    <xf numFmtId="2" fontId="85" fillId="0" borderId="47" xfId="2" applyNumberFormat="1" applyFont="1" applyFill="1" applyBorder="1" applyAlignment="1">
      <alignment horizontal="center" vertical="center"/>
    </xf>
    <xf numFmtId="2" fontId="85" fillId="0" borderId="50" xfId="2" applyNumberFormat="1" applyFont="1" applyFill="1" applyBorder="1" applyAlignment="1">
      <alignment horizontal="center" vertical="center"/>
    </xf>
    <xf numFmtId="2" fontId="85" fillId="0" borderId="50" xfId="2" applyNumberFormat="1" applyFont="1" applyFill="1" applyBorder="1" applyAlignment="1">
      <alignment horizontal="center" vertical="center" wrapText="1"/>
    </xf>
    <xf numFmtId="4" fontId="85" fillId="0" borderId="47" xfId="2" applyNumberFormat="1" applyFont="1" applyFill="1" applyBorder="1" applyAlignment="1">
      <alignment horizontal="center" vertical="center"/>
    </xf>
    <xf numFmtId="165" fontId="85" fillId="0" borderId="47" xfId="2" applyNumberFormat="1" applyFont="1" applyFill="1" applyBorder="1" applyAlignment="1">
      <alignment horizontal="center" vertical="center"/>
    </xf>
    <xf numFmtId="49" fontId="85" fillId="0" borderId="64" xfId="2" applyNumberFormat="1" applyFont="1" applyFill="1" applyBorder="1" applyAlignment="1">
      <alignment horizontal="center" vertical="top"/>
    </xf>
    <xf numFmtId="0" fontId="85" fillId="0" borderId="65" xfId="2" applyFont="1" applyFill="1" applyBorder="1" applyAlignment="1">
      <alignment vertical="top" wrapText="1"/>
    </xf>
    <xf numFmtId="167" fontId="85" fillId="0" borderId="64" xfId="2" applyNumberFormat="1" applyFont="1" applyFill="1" applyBorder="1" applyAlignment="1">
      <alignment vertical="top" wrapText="1"/>
    </xf>
    <xf numFmtId="165" fontId="85" fillId="0" borderId="65" xfId="2" applyNumberFormat="1" applyFont="1" applyFill="1" applyBorder="1" applyAlignment="1">
      <alignment horizontal="right" vertical="top"/>
    </xf>
    <xf numFmtId="2" fontId="85" fillId="0" borderId="64" xfId="2" applyNumberFormat="1" applyFont="1" applyFill="1" applyBorder="1" applyAlignment="1">
      <alignment horizontal="center" vertical="center"/>
    </xf>
    <xf numFmtId="2" fontId="85" fillId="0" borderId="66" xfId="2" applyNumberFormat="1" applyFont="1" applyFill="1" applyBorder="1" applyAlignment="1">
      <alignment horizontal="center" vertical="center"/>
    </xf>
    <xf numFmtId="165" fontId="85" fillId="0" borderId="64" xfId="2" applyNumberFormat="1" applyFont="1" applyFill="1" applyBorder="1" applyAlignment="1">
      <alignment horizontal="right" vertical="top"/>
    </xf>
    <xf numFmtId="4" fontId="85" fillId="0" borderId="64" xfId="2" applyNumberFormat="1" applyFont="1" applyFill="1" applyBorder="1" applyAlignment="1">
      <alignment horizontal="center" vertical="center"/>
    </xf>
    <xf numFmtId="165" fontId="85" fillId="0" borderId="64" xfId="2" applyNumberFormat="1" applyFont="1" applyFill="1" applyBorder="1" applyAlignment="1">
      <alignment horizontal="center" vertical="center"/>
    </xf>
    <xf numFmtId="49" fontId="85" fillId="0" borderId="49" xfId="2" applyNumberFormat="1" applyFont="1" applyFill="1" applyBorder="1" applyAlignment="1">
      <alignment horizontal="center" vertical="center"/>
    </xf>
    <xf numFmtId="166" fontId="85" fillId="0" borderId="47" xfId="2" applyNumberFormat="1" applyFont="1" applyFill="1" applyBorder="1" applyAlignment="1">
      <alignment horizontal="center" vertical="center"/>
    </xf>
    <xf numFmtId="165" fontId="85" fillId="0" borderId="49" xfId="2" applyNumberFormat="1" applyFont="1" applyFill="1" applyBorder="1" applyAlignment="1">
      <alignment horizontal="right" vertical="top"/>
    </xf>
    <xf numFmtId="166" fontId="85" fillId="0" borderId="47" xfId="2" applyNumberFormat="1" applyFont="1" applyFill="1" applyBorder="1" applyAlignment="1">
      <alignment horizontal="right" vertical="top"/>
    </xf>
    <xf numFmtId="49" fontId="85" fillId="0" borderId="1" xfId="2" applyNumberFormat="1" applyFont="1" applyFill="1" applyBorder="1" applyAlignment="1">
      <alignment horizontal="center" vertical="center"/>
    </xf>
    <xf numFmtId="2" fontId="85" fillId="0" borderId="1" xfId="2" applyNumberFormat="1" applyFont="1" applyFill="1" applyBorder="1" applyAlignment="1">
      <alignment horizontal="center" vertical="center" wrapText="1"/>
    </xf>
    <xf numFmtId="49" fontId="85" fillId="0" borderId="1" xfId="2" applyNumberFormat="1" applyFont="1" applyFill="1" applyBorder="1" applyAlignment="1">
      <alignment horizontal="center" vertical="center" wrapText="1"/>
    </xf>
    <xf numFmtId="165" fontId="85" fillId="0" borderId="1" xfId="2" applyNumberFormat="1" applyFont="1" applyFill="1" applyBorder="1" applyAlignment="1">
      <alignment horizontal="center" vertical="center"/>
    </xf>
    <xf numFmtId="166" fontId="85" fillId="0" borderId="6" xfId="2" applyNumberFormat="1" applyFont="1" applyFill="1" applyBorder="1" applyAlignment="1">
      <alignment horizontal="center" vertical="center"/>
    </xf>
    <xf numFmtId="166" fontId="85" fillId="0" borderId="49" xfId="2" applyNumberFormat="1" applyFont="1" applyFill="1" applyBorder="1" applyAlignment="1">
      <alignment horizontal="right" vertical="top"/>
    </xf>
    <xf numFmtId="166" fontId="56" fillId="0" borderId="64" xfId="2" applyNumberFormat="1" applyFont="1" applyFill="1" applyBorder="1" applyAlignment="1">
      <alignment horizontal="right" vertical="top"/>
    </xf>
    <xf numFmtId="2" fontId="56" fillId="0" borderId="64" xfId="2" applyNumberFormat="1" applyFont="1" applyFill="1" applyBorder="1" applyAlignment="1">
      <alignment horizontal="center" vertical="center"/>
    </xf>
    <xf numFmtId="165" fontId="56" fillId="0" borderId="64" xfId="2" applyNumberFormat="1" applyFont="1" applyFill="1" applyBorder="1" applyAlignment="1">
      <alignment horizontal="center" vertical="center"/>
    </xf>
    <xf numFmtId="166" fontId="85" fillId="0" borderId="65" xfId="2" applyNumberFormat="1" applyFont="1" applyFill="1" applyBorder="1" applyAlignment="1">
      <alignment horizontal="right" vertical="top"/>
    </xf>
    <xf numFmtId="4" fontId="85" fillId="0" borderId="50" xfId="2" applyNumberFormat="1" applyFont="1" applyFill="1" applyBorder="1" applyAlignment="1">
      <alignment horizontal="center" vertical="center" wrapText="1"/>
    </xf>
    <xf numFmtId="165" fontId="85" fillId="0" borderId="50" xfId="2" applyNumberFormat="1" applyFont="1" applyFill="1" applyBorder="1" applyAlignment="1">
      <alignment horizontal="center" vertical="center" wrapText="1"/>
    </xf>
    <xf numFmtId="165" fontId="88" fillId="0" borderId="47" xfId="2" applyNumberFormat="1" applyFont="1" applyFill="1" applyBorder="1" applyAlignment="1">
      <alignment horizontal="center" vertical="center"/>
    </xf>
    <xf numFmtId="167" fontId="85" fillId="0" borderId="49" xfId="2" applyNumberFormat="1" applyFont="1" applyFill="1" applyBorder="1" applyAlignment="1">
      <alignment vertical="top" wrapText="1"/>
    </xf>
    <xf numFmtId="49" fontId="91" fillId="0" borderId="47" xfId="2" applyNumberFormat="1" applyFont="1" applyFill="1" applyBorder="1" applyAlignment="1">
      <alignment horizontal="center" vertical="top"/>
    </xf>
    <xf numFmtId="166" fontId="91" fillId="0" borderId="49" xfId="2" applyNumberFormat="1" applyFont="1" applyFill="1" applyBorder="1" applyAlignment="1">
      <alignment horizontal="right" vertical="top"/>
    </xf>
    <xf numFmtId="2" fontId="91" fillId="0" borderId="47" xfId="2" applyNumberFormat="1" applyFont="1" applyFill="1" applyBorder="1" applyAlignment="1">
      <alignment horizontal="center" vertical="center"/>
    </xf>
    <xf numFmtId="2" fontId="91" fillId="0" borderId="50" xfId="2" applyNumberFormat="1" applyFont="1" applyFill="1" applyBorder="1" applyAlignment="1">
      <alignment horizontal="center" vertical="center"/>
    </xf>
    <xf numFmtId="4" fontId="91" fillId="0" borderId="47" xfId="2" applyNumberFormat="1" applyFont="1" applyFill="1" applyBorder="1" applyAlignment="1">
      <alignment horizontal="center" vertical="center"/>
    </xf>
    <xf numFmtId="165" fontId="91" fillId="0" borderId="50" xfId="2" applyNumberFormat="1" applyFont="1" applyFill="1" applyBorder="1" applyAlignment="1">
      <alignment horizontal="center" vertical="center"/>
    </xf>
    <xf numFmtId="165" fontId="85" fillId="0" borderId="50" xfId="2" applyNumberFormat="1" applyFont="1" applyFill="1" applyBorder="1" applyAlignment="1">
      <alignment horizontal="center" vertical="center"/>
    </xf>
    <xf numFmtId="165" fontId="85" fillId="0" borderId="46" xfId="2" applyNumberFormat="1" applyFont="1" applyFill="1" applyBorder="1" applyAlignment="1">
      <alignment horizontal="center" vertical="center"/>
    </xf>
    <xf numFmtId="49" fontId="91" fillId="0" borderId="64" xfId="2" applyNumberFormat="1" applyFont="1" applyFill="1" applyBorder="1" applyAlignment="1">
      <alignment horizontal="center" vertical="top"/>
    </xf>
    <xf numFmtId="167" fontId="91" fillId="0" borderId="65" xfId="2" applyNumberFormat="1" applyFont="1" applyFill="1" applyBorder="1" applyAlignment="1">
      <alignment vertical="top" wrapText="1"/>
    </xf>
    <xf numFmtId="167" fontId="91" fillId="0" borderId="49" xfId="2" applyNumberFormat="1" applyFont="1" applyFill="1" applyBorder="1" applyAlignment="1">
      <alignment vertical="top" wrapText="1"/>
    </xf>
    <xf numFmtId="165" fontId="85" fillId="0" borderId="66" xfId="2" applyNumberFormat="1" applyFont="1" applyFill="1" applyBorder="1" applyAlignment="1">
      <alignment horizontal="center" vertical="center"/>
    </xf>
    <xf numFmtId="167" fontId="85" fillId="0" borderId="65" xfId="2" applyNumberFormat="1" applyFont="1" applyFill="1" applyBorder="1" applyAlignment="1">
      <alignment vertical="top" wrapText="1"/>
    </xf>
    <xf numFmtId="166" fontId="85" fillId="0" borderId="64" xfId="2" applyNumberFormat="1" applyFont="1" applyFill="1" applyBorder="1" applyAlignment="1">
      <alignment horizontal="right" vertical="top"/>
    </xf>
    <xf numFmtId="0" fontId="91" fillId="0" borderId="48" xfId="2" applyFont="1" applyFill="1" applyBorder="1" applyAlignment="1">
      <alignment vertical="top" wrapText="1"/>
    </xf>
    <xf numFmtId="166" fontId="91" fillId="0" borderId="64" xfId="2" applyNumberFormat="1" applyFont="1" applyFill="1" applyBorder="1" applyAlignment="1">
      <alignment horizontal="right" vertical="top"/>
    </xf>
    <xf numFmtId="2" fontId="91" fillId="0" borderId="64" xfId="2" applyNumberFormat="1" applyFont="1" applyFill="1" applyBorder="1" applyAlignment="1">
      <alignment horizontal="center" vertical="center"/>
    </xf>
    <xf numFmtId="165" fontId="91" fillId="0" borderId="47" xfId="2" applyNumberFormat="1" applyFont="1" applyFill="1" applyBorder="1" applyAlignment="1">
      <alignment horizontal="center" vertical="center"/>
    </xf>
    <xf numFmtId="165" fontId="91" fillId="0" borderId="64" xfId="2" applyNumberFormat="1" applyFont="1" applyFill="1" applyBorder="1" applyAlignment="1">
      <alignment horizontal="center" vertical="center"/>
    </xf>
    <xf numFmtId="167" fontId="57" fillId="0" borderId="45" xfId="2" applyNumberFormat="1" applyFont="1" applyFill="1" applyBorder="1" applyAlignment="1">
      <alignment vertical="top" wrapText="1"/>
    </xf>
    <xf numFmtId="0" fontId="91" fillId="0" borderId="65" xfId="2" applyFont="1" applyFill="1" applyBorder="1" applyAlignment="1">
      <alignment vertical="top" wrapText="1"/>
    </xf>
    <xf numFmtId="167" fontId="91" fillId="0" borderId="64" xfId="2" applyNumberFormat="1" applyFont="1" applyFill="1" applyBorder="1" applyAlignment="1">
      <alignment vertical="top" wrapText="1"/>
    </xf>
    <xf numFmtId="166" fontId="91" fillId="0" borderId="65" xfId="2" applyNumberFormat="1" applyFont="1" applyFill="1" applyBorder="1" applyAlignment="1">
      <alignment horizontal="right" vertical="top"/>
    </xf>
    <xf numFmtId="2" fontId="91" fillId="0" borderId="66" xfId="2" applyNumberFormat="1" applyFont="1" applyFill="1" applyBorder="1" applyAlignment="1">
      <alignment horizontal="center" vertical="center"/>
    </xf>
    <xf numFmtId="2" fontId="91" fillId="0" borderId="50" xfId="2" applyNumberFormat="1" applyFont="1" applyFill="1" applyBorder="1" applyAlignment="1">
      <alignment horizontal="center" vertical="center" wrapText="1"/>
    </xf>
    <xf numFmtId="167" fontId="91" fillId="0" borderId="47" xfId="2" applyNumberFormat="1" applyFont="1" applyFill="1" applyBorder="1" applyAlignment="1">
      <alignment vertical="top" wrapText="1"/>
    </xf>
    <xf numFmtId="166" fontId="91" fillId="0" borderId="47" xfId="2" applyNumberFormat="1" applyFont="1" applyFill="1" applyBorder="1" applyAlignment="1">
      <alignment horizontal="right" vertical="top"/>
    </xf>
    <xf numFmtId="49" fontId="57" fillId="0" borderId="44" xfId="2" applyNumberFormat="1" applyFont="1" applyFill="1" applyBorder="1" applyAlignment="1">
      <alignment horizontal="center" vertical="top"/>
    </xf>
    <xf numFmtId="49" fontId="85" fillId="0" borderId="44" xfId="2" applyNumberFormat="1" applyFont="1" applyFill="1" applyBorder="1" applyAlignment="1">
      <alignment horizontal="center" vertical="top"/>
    </xf>
    <xf numFmtId="167" fontId="57" fillId="0" borderId="44" xfId="2" applyNumberFormat="1" applyFont="1" applyFill="1" applyBorder="1" applyAlignment="1">
      <alignment vertical="top" wrapText="1"/>
    </xf>
    <xf numFmtId="166" fontId="85" fillId="0" borderId="45" xfId="2" applyNumberFormat="1" applyFont="1" applyFill="1" applyBorder="1" applyAlignment="1">
      <alignment horizontal="right" vertical="top"/>
    </xf>
    <xf numFmtId="2" fontId="85" fillId="0" borderId="44" xfId="2" applyNumberFormat="1" applyFont="1" applyFill="1" applyBorder="1" applyAlignment="1">
      <alignment horizontal="center" vertical="center"/>
    </xf>
    <xf numFmtId="2" fontId="85" fillId="0" borderId="46" xfId="2" applyNumberFormat="1" applyFont="1" applyFill="1" applyBorder="1" applyAlignment="1">
      <alignment horizontal="center" vertical="center"/>
    </xf>
    <xf numFmtId="49" fontId="57" fillId="0" borderId="47" xfId="2" applyNumberFormat="1" applyFont="1" applyFill="1" applyBorder="1" applyAlignment="1">
      <alignment horizontal="center" vertical="top"/>
    </xf>
    <xf numFmtId="167" fontId="57" fillId="0" borderId="49" xfId="2" applyNumberFormat="1" applyFont="1" applyFill="1" applyBorder="1" applyAlignment="1">
      <alignment vertical="top" wrapText="1"/>
    </xf>
    <xf numFmtId="167" fontId="57" fillId="0" borderId="47" xfId="2" applyNumberFormat="1" applyFont="1" applyFill="1" applyBorder="1" applyAlignment="1">
      <alignment vertical="top" wrapText="1"/>
    </xf>
    <xf numFmtId="169" fontId="85" fillId="0" borderId="47" xfId="2" applyNumberFormat="1" applyFont="1" applyFill="1" applyBorder="1" applyAlignment="1">
      <alignment horizontal="center" vertical="center"/>
    </xf>
    <xf numFmtId="0" fontId="82" fillId="0" borderId="0" xfId="2" applyFont="1" applyFill="1" applyAlignment="1">
      <alignment vertical="center"/>
    </xf>
    <xf numFmtId="49" fontId="92" fillId="0" borderId="47" xfId="2" applyNumberFormat="1" applyFont="1" applyFill="1" applyBorder="1" applyAlignment="1">
      <alignment horizontal="center" vertical="top"/>
    </xf>
    <xf numFmtId="167" fontId="92" fillId="0" borderId="49" xfId="2" applyNumberFormat="1" applyFont="1" applyFill="1" applyBorder="1" applyAlignment="1">
      <alignment vertical="top" wrapText="1"/>
    </xf>
    <xf numFmtId="167" fontId="92" fillId="0" borderId="47" xfId="2" applyNumberFormat="1" applyFont="1" applyFill="1" applyBorder="1" applyAlignment="1">
      <alignment vertical="top" wrapText="1"/>
    </xf>
    <xf numFmtId="168" fontId="85" fillId="0" borderId="47" xfId="2" applyNumberFormat="1" applyFont="1" applyFill="1" applyBorder="1" applyAlignment="1">
      <alignment horizontal="center" vertical="center"/>
    </xf>
    <xf numFmtId="168" fontId="47" fillId="0" borderId="0" xfId="2" applyNumberFormat="1" applyFont="1" applyFill="1" applyAlignment="1">
      <alignment vertical="center"/>
    </xf>
    <xf numFmtId="0" fontId="57" fillId="0" borderId="52" xfId="2" applyFont="1" applyFill="1" applyBorder="1" applyAlignment="1">
      <alignment horizontal="justify" vertical="top" wrapText="1"/>
    </xf>
    <xf numFmtId="0" fontId="57" fillId="0" borderId="36" xfId="2" applyFont="1" applyFill="1" applyBorder="1" applyAlignment="1">
      <alignment horizontal="justify" vertical="top" wrapText="1"/>
    </xf>
    <xf numFmtId="49" fontId="93" fillId="2" borderId="5" xfId="2" applyNumberFormat="1" applyFont="1" applyFill="1" applyBorder="1" applyAlignment="1">
      <alignment horizontal="center" vertical="center" wrapText="1"/>
    </xf>
    <xf numFmtId="49" fontId="93" fillId="2" borderId="1" xfId="56" applyNumberFormat="1" applyFont="1" applyFill="1" applyBorder="1" applyAlignment="1">
      <alignment horizontal="center" vertical="center" wrapText="1"/>
    </xf>
    <xf numFmtId="49" fontId="85" fillId="0" borderId="49" xfId="2" applyNumberFormat="1" applyFont="1" applyFill="1" applyBorder="1" applyAlignment="1">
      <alignment horizontal="center" vertical="top"/>
    </xf>
    <xf numFmtId="49" fontId="57" fillId="0" borderId="64" xfId="2" applyNumberFormat="1" applyFont="1" applyFill="1" applyBorder="1" applyAlignment="1">
      <alignment horizontal="center" vertical="top"/>
    </xf>
    <xf numFmtId="167" fontId="57" fillId="0" borderId="64" xfId="2" applyNumberFormat="1" applyFont="1" applyFill="1" applyBorder="1" applyAlignment="1">
      <alignment vertical="top" wrapText="1"/>
    </xf>
    <xf numFmtId="2" fontId="85" fillId="0" borderId="66" xfId="2" applyNumberFormat="1" applyFont="1" applyFill="1" applyBorder="1" applyAlignment="1">
      <alignment horizontal="center" vertical="center" wrapText="1"/>
    </xf>
    <xf numFmtId="168" fontId="85" fillId="0" borderId="64" xfId="2" applyNumberFormat="1" applyFont="1" applyFill="1" applyBorder="1" applyAlignment="1">
      <alignment horizontal="center" vertical="center"/>
    </xf>
    <xf numFmtId="49" fontId="22" fillId="2" borderId="2" xfId="56" applyNumberFormat="1" applyFont="1" applyFill="1" applyBorder="1" applyAlignment="1">
      <alignment horizontal="center" vertical="center" wrapText="1"/>
    </xf>
    <xf numFmtId="49" fontId="93" fillId="2" borderId="3" xfId="56" applyNumberFormat="1" applyFont="1" applyFill="1" applyBorder="1" applyAlignment="1">
      <alignment horizontal="center" vertical="center" wrapText="1"/>
    </xf>
    <xf numFmtId="0" fontId="22" fillId="2" borderId="3" xfId="56" applyFont="1" applyFill="1" applyBorder="1" applyAlignment="1">
      <alignment horizontal="center" vertical="center" wrapText="1"/>
    </xf>
    <xf numFmtId="0" fontId="72" fillId="2" borderId="3" xfId="56" applyFont="1" applyFill="1" applyBorder="1" applyAlignment="1">
      <alignment horizontal="center" vertical="center" wrapText="1"/>
    </xf>
    <xf numFmtId="49" fontId="85" fillId="0" borderId="61" xfId="2" applyNumberFormat="1" applyFont="1" applyFill="1" applyBorder="1" applyAlignment="1">
      <alignment horizontal="center" vertical="top"/>
    </xf>
    <xf numFmtId="2" fontId="85" fillId="0" borderId="31" xfId="2" applyNumberFormat="1" applyFont="1" applyFill="1" applyBorder="1" applyAlignment="1">
      <alignment horizontal="center" vertical="center"/>
    </xf>
    <xf numFmtId="2" fontId="85" fillId="0" borderId="62" xfId="2" applyNumberFormat="1" applyFont="1" applyFill="1" applyBorder="1" applyAlignment="1">
      <alignment horizontal="center" vertical="center"/>
    </xf>
    <xf numFmtId="2" fontId="56" fillId="0" borderId="62" xfId="2" applyNumberFormat="1" applyFont="1" applyFill="1" applyBorder="1" applyAlignment="1">
      <alignment horizontal="center" vertical="center" wrapText="1"/>
    </xf>
    <xf numFmtId="165" fontId="85" fillId="0" borderId="31" xfId="2" applyNumberFormat="1" applyFont="1" applyFill="1" applyBorder="1" applyAlignment="1">
      <alignment horizontal="center" vertical="center"/>
    </xf>
    <xf numFmtId="168" fontId="85" fillId="0" borderId="31" xfId="2" applyNumberFormat="1" applyFont="1" applyFill="1" applyBorder="1" applyAlignment="1">
      <alignment horizontal="center" vertical="center"/>
    </xf>
    <xf numFmtId="49" fontId="22" fillId="2" borderId="7" xfId="56" applyNumberFormat="1" applyFont="1" applyFill="1" applyBorder="1" applyAlignment="1">
      <alignment horizontal="center" vertical="center" wrapText="1"/>
    </xf>
    <xf numFmtId="49" fontId="93" fillId="2" borderId="8" xfId="56" applyNumberFormat="1" applyFont="1" applyFill="1" applyBorder="1" applyAlignment="1">
      <alignment horizontal="center" vertical="center" wrapText="1"/>
    </xf>
    <xf numFmtId="0" fontId="22" fillId="2" borderId="8" xfId="56" applyFont="1" applyFill="1" applyBorder="1" applyAlignment="1">
      <alignment horizontal="center" vertical="center" wrapText="1"/>
    </xf>
    <xf numFmtId="0" fontId="72" fillId="2" borderId="8" xfId="56" applyFont="1" applyFill="1" applyBorder="1" applyAlignment="1">
      <alignment horizontal="center" vertical="center" wrapText="1"/>
    </xf>
    <xf numFmtId="49" fontId="85" fillId="0" borderId="67" xfId="2" applyNumberFormat="1" applyFont="1" applyFill="1" applyBorder="1" applyAlignment="1">
      <alignment horizontal="center" vertical="top"/>
    </xf>
    <xf numFmtId="2" fontId="85" fillId="0" borderId="35" xfId="2" applyNumberFormat="1" applyFont="1" applyFill="1" applyBorder="1" applyAlignment="1">
      <alignment horizontal="center" vertical="center"/>
    </xf>
    <xf numFmtId="2" fontId="85" fillId="0" borderId="68" xfId="2" applyNumberFormat="1" applyFont="1" applyFill="1" applyBorder="1" applyAlignment="1">
      <alignment horizontal="center" vertical="center"/>
    </xf>
    <xf numFmtId="2" fontId="56" fillId="0" borderId="68" xfId="2" applyNumberFormat="1" applyFont="1" applyFill="1" applyBorder="1" applyAlignment="1">
      <alignment horizontal="center" vertical="center" wrapText="1"/>
    </xf>
    <xf numFmtId="165" fontId="85" fillId="0" borderId="35" xfId="2" applyNumberFormat="1" applyFont="1" applyFill="1" applyBorder="1" applyAlignment="1">
      <alignment horizontal="center" vertical="center"/>
    </xf>
    <xf numFmtId="168" fontId="85" fillId="0" borderId="35" xfId="2" applyNumberFormat="1" applyFont="1" applyFill="1" applyBorder="1" applyAlignment="1">
      <alignment horizontal="center" vertical="center"/>
    </xf>
    <xf numFmtId="166" fontId="85" fillId="0" borderId="44" xfId="2" applyNumberFormat="1" applyFont="1" applyFill="1" applyBorder="1" applyAlignment="1">
      <alignment horizontal="right" vertical="top"/>
    </xf>
    <xf numFmtId="168" fontId="85" fillId="0" borderId="44" xfId="2" applyNumberFormat="1" applyFont="1" applyFill="1" applyBorder="1" applyAlignment="1">
      <alignment horizontal="center" vertical="center"/>
    </xf>
    <xf numFmtId="0" fontId="93" fillId="2" borderId="1" xfId="2" applyFont="1" applyFill="1" applyBorder="1" applyAlignment="1">
      <alignment horizontal="left" vertical="center" wrapText="1"/>
    </xf>
    <xf numFmtId="166" fontId="85" fillId="0" borderId="47" xfId="2" applyNumberFormat="1" applyFont="1" applyFill="1" applyBorder="1" applyAlignment="1">
      <alignment horizontal="right" vertical="center"/>
    </xf>
    <xf numFmtId="2" fontId="85" fillId="2" borderId="47" xfId="2" applyNumberFormat="1" applyFont="1" applyFill="1" applyBorder="1" applyAlignment="1">
      <alignment horizontal="center" vertical="center"/>
    </xf>
    <xf numFmtId="2" fontId="85" fillId="2" borderId="50" xfId="2" applyNumberFormat="1" applyFont="1" applyFill="1" applyBorder="1" applyAlignment="1">
      <alignment horizontal="center" vertical="center"/>
    </xf>
    <xf numFmtId="49" fontId="56" fillId="0" borderId="47" xfId="2" applyNumberFormat="1" applyFont="1" applyFill="1" applyBorder="1" applyAlignment="1">
      <alignment horizontal="center" vertical="top"/>
    </xf>
    <xf numFmtId="167" fontId="56" fillId="0" borderId="47" xfId="2" applyNumberFormat="1" applyFont="1" applyFill="1" applyBorder="1" applyAlignment="1">
      <alignment vertical="top" wrapText="1"/>
    </xf>
    <xf numFmtId="2" fontId="56" fillId="0" borderId="50" xfId="2" applyNumberFormat="1" applyFont="1" applyFill="1" applyBorder="1" applyAlignment="1">
      <alignment horizontal="center" vertical="center" wrapText="1"/>
    </xf>
    <xf numFmtId="2" fontId="85" fillId="0" borderId="47" xfId="2" applyNumberFormat="1" applyFont="1" applyFill="1" applyBorder="1" applyAlignment="1">
      <alignment horizontal="right" vertical="top"/>
    </xf>
    <xf numFmtId="2" fontId="85" fillId="0" borderId="50" xfId="2" applyNumberFormat="1" applyFont="1" applyFill="1" applyBorder="1" applyAlignment="1">
      <alignment horizontal="right" vertical="top"/>
    </xf>
    <xf numFmtId="2" fontId="85" fillId="0" borderId="50" xfId="2" applyNumberFormat="1" applyFont="1" applyFill="1" applyBorder="1" applyAlignment="1">
      <alignment horizontal="right" vertical="top" wrapText="1"/>
    </xf>
    <xf numFmtId="2" fontId="91" fillId="0" borderId="47" xfId="2" applyNumberFormat="1" applyFont="1" applyFill="1" applyBorder="1" applyAlignment="1">
      <alignment horizontal="right" vertical="top"/>
    </xf>
    <xf numFmtId="165" fontId="91" fillId="0" borderId="47" xfId="2" applyNumberFormat="1" applyFont="1" applyFill="1" applyBorder="1" applyAlignment="1">
      <alignment horizontal="right" vertical="top"/>
    </xf>
    <xf numFmtId="165" fontId="91" fillId="0" borderId="49" xfId="2" applyNumberFormat="1" applyFont="1" applyFill="1" applyBorder="1" applyAlignment="1">
      <alignment horizontal="right" vertical="top"/>
    </xf>
    <xf numFmtId="2" fontId="91" fillId="0" borderId="50" xfId="2" applyNumberFormat="1" applyFont="1" applyFill="1" applyBorder="1" applyAlignment="1">
      <alignment horizontal="right" vertical="top"/>
    </xf>
    <xf numFmtId="165" fontId="91" fillId="0" borderId="50" xfId="2" applyNumberFormat="1" applyFont="1" applyFill="1" applyBorder="1" applyAlignment="1">
      <alignment horizontal="right" vertical="top"/>
    </xf>
    <xf numFmtId="168" fontId="91" fillId="0" borderId="50" xfId="2" applyNumberFormat="1" applyFont="1" applyFill="1" applyBorder="1" applyAlignment="1">
      <alignment horizontal="right" vertical="top"/>
    </xf>
    <xf numFmtId="165" fontId="85" fillId="0" borderId="50" xfId="2" applyNumberFormat="1" applyFont="1" applyFill="1" applyBorder="1" applyAlignment="1">
      <alignment horizontal="right" vertical="top"/>
    </xf>
    <xf numFmtId="168" fontId="85" fillId="0" borderId="50" xfId="2" applyNumberFormat="1" applyFont="1" applyFill="1" applyBorder="1" applyAlignment="1">
      <alignment horizontal="right" vertical="top"/>
    </xf>
    <xf numFmtId="2" fontId="85" fillId="0" borderId="64" xfId="2" applyNumberFormat="1" applyFont="1" applyFill="1" applyBorder="1" applyAlignment="1">
      <alignment horizontal="right" vertical="top"/>
    </xf>
    <xf numFmtId="2" fontId="85" fillId="0" borderId="66" xfId="2" applyNumberFormat="1" applyFont="1" applyFill="1" applyBorder="1" applyAlignment="1">
      <alignment horizontal="right" vertical="top"/>
    </xf>
    <xf numFmtId="165" fontId="85" fillId="0" borderId="66" xfId="2" applyNumberFormat="1" applyFont="1" applyFill="1" applyBorder="1" applyAlignment="1">
      <alignment horizontal="right" vertical="top"/>
    </xf>
    <xf numFmtId="168" fontId="85" fillId="0" borderId="66" xfId="2" applyNumberFormat="1" applyFont="1" applyFill="1" applyBorder="1" applyAlignment="1">
      <alignment horizontal="right" vertical="top"/>
    </xf>
    <xf numFmtId="49" fontId="56" fillId="0" borderId="38" xfId="2" applyNumberFormat="1" applyFont="1" applyFill="1" applyBorder="1" applyAlignment="1">
      <alignment horizontal="center" vertical="center"/>
    </xf>
    <xf numFmtId="166" fontId="95" fillId="0" borderId="41" xfId="2" applyNumberFormat="1" applyFont="1" applyFill="1" applyBorder="1" applyAlignment="1">
      <alignment horizontal="center" vertical="top"/>
    </xf>
    <xf numFmtId="166" fontId="56" fillId="0" borderId="38" xfId="2" applyNumberFormat="1" applyFont="1" applyFill="1" applyBorder="1" applyAlignment="1">
      <alignment horizontal="center" vertical="center"/>
    </xf>
    <xf numFmtId="167" fontId="56" fillId="0" borderId="38" xfId="2" applyNumberFormat="1" applyFont="1" applyFill="1" applyBorder="1" applyAlignment="1" applyProtection="1">
      <alignment horizontal="center" vertical="center"/>
      <protection locked="0"/>
    </xf>
    <xf numFmtId="2" fontId="56" fillId="0" borderId="38" xfId="2" applyNumberFormat="1" applyFont="1" applyFill="1" applyBorder="1" applyAlignment="1" applyProtection="1">
      <alignment horizontal="center" vertical="center"/>
      <protection locked="0"/>
    </xf>
    <xf numFmtId="2" fontId="96" fillId="0" borderId="38" xfId="2" applyNumberFormat="1" applyFont="1" applyFill="1" applyBorder="1" applyAlignment="1" applyProtection="1">
      <alignment horizontal="center" vertical="top"/>
      <protection locked="0"/>
    </xf>
    <xf numFmtId="166" fontId="96" fillId="0" borderId="38" xfId="2" applyNumberFormat="1" applyFont="1" applyFill="1" applyBorder="1" applyAlignment="1" applyProtection="1">
      <alignment horizontal="right" vertical="top"/>
      <protection locked="0"/>
    </xf>
    <xf numFmtId="169" fontId="96" fillId="0" borderId="38" xfId="2" applyNumberFormat="1" applyFont="1" applyFill="1" applyBorder="1" applyAlignment="1" applyProtection="1">
      <alignment horizontal="right" vertical="top"/>
      <protection locked="0"/>
    </xf>
    <xf numFmtId="165" fontId="96" fillId="0" borderId="38" xfId="2" applyNumberFormat="1" applyFont="1" applyFill="1" applyBorder="1" applyAlignment="1" applyProtection="1">
      <alignment horizontal="right" vertical="top"/>
      <protection locked="0"/>
    </xf>
    <xf numFmtId="4" fontId="96" fillId="0" borderId="38" xfId="2" applyNumberFormat="1" applyFont="1" applyFill="1" applyBorder="1" applyAlignment="1" applyProtection="1">
      <alignment horizontal="right" vertical="top"/>
      <protection locked="0"/>
    </xf>
    <xf numFmtId="4" fontId="56" fillId="0" borderId="38" xfId="2" applyNumberFormat="1" applyFont="1" applyFill="1" applyBorder="1" applyAlignment="1" applyProtection="1">
      <alignment horizontal="center" vertical="center"/>
      <protection locked="0"/>
    </xf>
    <xf numFmtId="166" fontId="87" fillId="0" borderId="0" xfId="2" applyNumberFormat="1" applyFont="1" applyFill="1" applyAlignment="1">
      <alignment vertical="center"/>
    </xf>
    <xf numFmtId="166" fontId="47" fillId="0" borderId="0" xfId="2" applyNumberFormat="1" applyFont="1" applyFill="1" applyAlignment="1">
      <alignment vertical="center"/>
    </xf>
    <xf numFmtId="166" fontId="53" fillId="0" borderId="0" xfId="2" applyNumberFormat="1" applyFont="1" applyFill="1" applyAlignment="1">
      <alignment vertical="center"/>
    </xf>
    <xf numFmtId="0" fontId="14" fillId="0" borderId="0" xfId="2" applyAlignment="1">
      <alignment vertical="center"/>
    </xf>
    <xf numFmtId="0" fontId="80" fillId="0" borderId="0" xfId="2" applyFont="1" applyFill="1" applyAlignment="1">
      <alignment vertical="center"/>
    </xf>
    <xf numFmtId="0" fontId="3" fillId="0" borderId="0" xfId="0" quotePrefix="1" applyFont="1" applyAlignment="1">
      <alignment horizontal="left"/>
    </xf>
    <xf numFmtId="0" fontId="15" fillId="0" borderId="0" xfId="2" applyFont="1" applyAlignment="1">
      <alignment vertical="center" wrapText="1"/>
    </xf>
    <xf numFmtId="49" fontId="15" fillId="0" borderId="0" xfId="2" applyNumberFormat="1" applyFont="1" applyAlignment="1">
      <alignment horizontal="center" vertical="center" wrapText="1"/>
    </xf>
    <xf numFmtId="4" fontId="15" fillId="0" borderId="0" xfId="2" applyNumberFormat="1" applyFont="1" applyAlignment="1">
      <alignment horizontal="right" vertical="center" wrapText="1"/>
    </xf>
    <xf numFmtId="4" fontId="15" fillId="0" borderId="0" xfId="2" applyNumberFormat="1" applyFont="1" applyAlignment="1">
      <alignment vertical="center" wrapText="1"/>
    </xf>
    <xf numFmtId="0" fontId="15" fillId="0" borderId="0" xfId="2" applyFont="1" applyAlignment="1">
      <alignment horizontal="center" vertical="center" wrapText="1"/>
    </xf>
    <xf numFmtId="0" fontId="66" fillId="0" borderId="0" xfId="2" applyFont="1" applyAlignment="1">
      <alignment vertical="center" wrapText="1"/>
    </xf>
    <xf numFmtId="4" fontId="64" fillId="0" borderId="0" xfId="2" applyNumberFormat="1" applyFont="1" applyBorder="1" applyAlignment="1">
      <alignment horizontal="center" vertical="center" wrapText="1"/>
    </xf>
    <xf numFmtId="0" fontId="15" fillId="0" borderId="16" xfId="2" applyFont="1" applyBorder="1" applyAlignment="1">
      <alignment horizontal="center" vertical="center" wrapText="1"/>
    </xf>
    <xf numFmtId="49" fontId="15" fillId="0" borderId="17" xfId="2" applyNumberFormat="1" applyFont="1" applyBorder="1" applyAlignment="1">
      <alignment horizontal="center" vertical="center" wrapText="1"/>
    </xf>
    <xf numFmtId="4" fontId="15" fillId="0" borderId="63" xfId="2" applyNumberFormat="1" applyFont="1" applyFill="1" applyBorder="1" applyAlignment="1">
      <alignment horizontal="center" vertical="center" wrapText="1"/>
    </xf>
    <xf numFmtId="4" fontId="15" fillId="0" borderId="17" xfId="2" applyNumberFormat="1" applyFont="1" applyFill="1" applyBorder="1" applyAlignment="1">
      <alignment horizontal="center" vertical="center" wrapText="1"/>
    </xf>
    <xf numFmtId="0" fontId="15" fillId="0" borderId="18" xfId="2" applyFont="1" applyFill="1" applyBorder="1" applyAlignment="1">
      <alignment horizontal="center" vertical="center" wrapText="1"/>
    </xf>
    <xf numFmtId="0" fontId="66" fillId="0" borderId="0" xfId="2" applyFont="1" applyAlignment="1">
      <alignment horizontal="center" vertical="center" wrapText="1"/>
    </xf>
    <xf numFmtId="0" fontId="7" fillId="2" borderId="19" xfId="2" applyFont="1" applyFill="1" applyBorder="1" applyAlignment="1">
      <alignment horizontal="left" vertical="center" wrapText="1"/>
    </xf>
    <xf numFmtId="0" fontId="7" fillId="2" borderId="6" xfId="2" applyFont="1" applyFill="1" applyBorder="1" applyAlignment="1">
      <alignment vertical="center" wrapText="1"/>
    </xf>
    <xf numFmtId="4" fontId="7" fillId="2" borderId="69" xfId="2" applyNumberFormat="1" applyFont="1" applyFill="1" applyBorder="1" applyAlignment="1">
      <alignment horizontal="center" vertical="center" wrapText="1"/>
    </xf>
    <xf numFmtId="0" fontId="98" fillId="0" borderId="0" xfId="2" applyFont="1" applyAlignment="1">
      <alignment horizontal="center" vertical="center" wrapText="1"/>
    </xf>
    <xf numFmtId="0" fontId="7" fillId="2" borderId="5" xfId="2" applyFont="1" applyFill="1" applyBorder="1" applyAlignment="1">
      <alignment horizontal="left" vertical="center" wrapText="1"/>
    </xf>
    <xf numFmtId="4" fontId="7" fillId="2" borderId="56" xfId="2" applyNumberFormat="1" applyFont="1" applyFill="1" applyBorder="1" applyAlignment="1">
      <alignment horizontal="center" vertical="center" wrapText="1"/>
    </xf>
    <xf numFmtId="49" fontId="7" fillId="2" borderId="57" xfId="2" applyNumberFormat="1" applyFont="1" applyFill="1" applyBorder="1" applyAlignment="1">
      <alignment horizontal="center" vertical="center" wrapText="1"/>
    </xf>
    <xf numFmtId="14" fontId="15" fillId="2" borderId="1" xfId="2" applyNumberFormat="1" applyFont="1" applyFill="1" applyBorder="1" applyAlignment="1">
      <alignment horizontal="center" vertical="center" wrapText="1"/>
    </xf>
    <xf numFmtId="0" fontId="15" fillId="2" borderId="6" xfId="2" applyFont="1" applyFill="1" applyBorder="1" applyAlignment="1">
      <alignment vertical="center" wrapText="1"/>
    </xf>
    <xf numFmtId="0" fontId="7" fillId="2" borderId="2" xfId="2" applyFont="1" applyFill="1" applyBorder="1" applyAlignment="1">
      <alignment horizontal="left" vertical="center" wrapText="1"/>
    </xf>
    <xf numFmtId="49" fontId="7" fillId="2" borderId="3" xfId="2" applyNumberFormat="1" applyFont="1" applyFill="1" applyBorder="1" applyAlignment="1">
      <alignment horizontal="center" vertical="center" wrapText="1"/>
    </xf>
    <xf numFmtId="49" fontId="15" fillId="2" borderId="57" xfId="2" applyNumberFormat="1" applyFont="1" applyFill="1" applyBorder="1" applyAlignment="1">
      <alignment horizontal="center" vertical="center" wrapText="1"/>
    </xf>
    <xf numFmtId="4" fontId="15" fillId="2" borderId="56" xfId="2" applyNumberFormat="1" applyFont="1" applyFill="1" applyBorder="1" applyAlignment="1">
      <alignment horizontal="center" vertical="center" wrapText="1"/>
    </xf>
    <xf numFmtId="0" fontId="98" fillId="0" borderId="0" xfId="2" applyFont="1" applyAlignment="1">
      <alignment vertical="center" wrapText="1"/>
    </xf>
    <xf numFmtId="49" fontId="7" fillId="2" borderId="1" xfId="2" applyNumberFormat="1" applyFont="1" applyFill="1" applyBorder="1" applyAlignment="1">
      <alignment horizontal="center" vertical="center" wrapText="1"/>
    </xf>
    <xf numFmtId="4" fontId="7" fillId="0" borderId="56" xfId="2" applyNumberFormat="1" applyFont="1" applyFill="1" applyBorder="1" applyAlignment="1">
      <alignment horizontal="center" vertical="center" wrapText="1"/>
    </xf>
    <xf numFmtId="0" fontId="15" fillId="2" borderId="5" xfId="2" applyFont="1" applyFill="1" applyBorder="1" applyAlignment="1">
      <alignment horizontal="left" vertical="center" wrapText="1"/>
    </xf>
    <xf numFmtId="0" fontId="18" fillId="2" borderId="5" xfId="2" applyFont="1" applyFill="1" applyBorder="1" applyAlignment="1">
      <alignment horizontal="left" vertical="center" wrapText="1"/>
    </xf>
    <xf numFmtId="4" fontId="7" fillId="2" borderId="54" xfId="2" applyNumberFormat="1" applyFont="1" applyFill="1" applyBorder="1" applyAlignment="1">
      <alignment horizontal="center" vertical="center" wrapText="1"/>
    </xf>
    <xf numFmtId="4" fontId="7" fillId="2" borderId="1" xfId="2" applyNumberFormat="1" applyFont="1" applyFill="1" applyBorder="1" applyAlignment="1">
      <alignment horizontal="center" vertical="center" wrapText="1"/>
    </xf>
    <xf numFmtId="14" fontId="15" fillId="2" borderId="12" xfId="2" applyNumberFormat="1" applyFont="1" applyFill="1" applyBorder="1" applyAlignment="1">
      <alignment horizontal="center" vertical="center" wrapText="1"/>
    </xf>
    <xf numFmtId="0" fontId="7" fillId="2" borderId="22" xfId="2" applyFont="1" applyFill="1" applyBorder="1" applyAlignment="1">
      <alignment horizontal="left" vertical="center" wrapText="1"/>
    </xf>
    <xf numFmtId="49" fontId="7" fillId="2" borderId="60" xfId="2" applyNumberFormat="1" applyFont="1" applyFill="1" applyBorder="1" applyAlignment="1">
      <alignment horizontal="center" vertical="center" wrapText="1"/>
    </xf>
    <xf numFmtId="4" fontId="64" fillId="2" borderId="63" xfId="2" applyNumberFormat="1" applyFont="1" applyFill="1" applyBorder="1" applyAlignment="1">
      <alignment horizontal="center" vertical="center" wrapText="1"/>
    </xf>
    <xf numFmtId="4" fontId="64" fillId="2" borderId="17" xfId="2" applyNumberFormat="1" applyFont="1" applyFill="1" applyBorder="1" applyAlignment="1">
      <alignment vertical="center" wrapText="1"/>
    </xf>
    <xf numFmtId="4" fontId="15" fillId="2" borderId="18" xfId="2" applyNumberFormat="1" applyFont="1" applyFill="1" applyBorder="1" applyAlignment="1">
      <alignment vertical="center" wrapText="1"/>
    </xf>
    <xf numFmtId="49" fontId="7" fillId="2" borderId="5" xfId="2" applyNumberFormat="1" applyFont="1" applyFill="1" applyBorder="1" applyAlignment="1">
      <alignment horizontal="center" vertical="center" wrapText="1"/>
    </xf>
    <xf numFmtId="14" fontId="7" fillId="2" borderId="12" xfId="2" applyNumberFormat="1" applyFont="1" applyFill="1" applyBorder="1" applyAlignment="1">
      <alignment horizontal="center" vertical="center" wrapText="1"/>
    </xf>
    <xf numFmtId="0" fontId="7" fillId="2" borderId="14" xfId="2" applyFont="1" applyFill="1" applyBorder="1" applyAlignment="1">
      <alignment vertical="center" wrapText="1"/>
    </xf>
    <xf numFmtId="0" fontId="15" fillId="2" borderId="14" xfId="2" applyFont="1" applyFill="1" applyBorder="1" applyAlignment="1">
      <alignment vertical="center" wrapText="1"/>
    </xf>
    <xf numFmtId="0" fontId="7" fillId="0" borderId="22" xfId="2" applyFont="1" applyFill="1" applyBorder="1" applyAlignment="1">
      <alignment horizontal="left" vertical="center" wrapText="1"/>
    </xf>
    <xf numFmtId="49" fontId="7" fillId="0" borderId="5" xfId="2" applyNumberFormat="1" applyFont="1" applyFill="1" applyBorder="1" applyAlignment="1">
      <alignment horizontal="center" vertical="center" wrapText="1"/>
    </xf>
    <xf numFmtId="14" fontId="7" fillId="0" borderId="12" xfId="2" applyNumberFormat="1" applyFont="1" applyFill="1" applyBorder="1" applyAlignment="1">
      <alignment horizontal="center" vertical="center" wrapText="1"/>
    </xf>
    <xf numFmtId="4" fontId="64" fillId="0" borderId="63" xfId="2" applyNumberFormat="1" applyFont="1" applyFill="1" applyBorder="1" applyAlignment="1">
      <alignment horizontal="center" vertical="center" wrapText="1"/>
    </xf>
    <xf numFmtId="4" fontId="64" fillId="0" borderId="17" xfId="2" applyNumberFormat="1" applyFont="1" applyFill="1" applyBorder="1" applyAlignment="1">
      <alignment horizontal="center" vertical="center" wrapText="1"/>
    </xf>
    <xf numFmtId="4" fontId="64" fillId="0" borderId="18" xfId="2" applyNumberFormat="1" applyFont="1" applyFill="1" applyBorder="1" applyAlignment="1">
      <alignment horizontal="center" vertical="center" wrapText="1"/>
    </xf>
    <xf numFmtId="4" fontId="66" fillId="0" borderId="0" xfId="2" applyNumberFormat="1" applyFont="1" applyAlignment="1">
      <alignment vertical="center" wrapText="1"/>
    </xf>
    <xf numFmtId="4" fontId="64" fillId="2" borderId="17" xfId="2" applyNumberFormat="1" applyFont="1" applyFill="1" applyBorder="1" applyAlignment="1">
      <alignment horizontal="center" vertical="center" wrapText="1"/>
    </xf>
    <xf numFmtId="4" fontId="15" fillId="2" borderId="18" xfId="2" applyNumberFormat="1" applyFont="1" applyFill="1" applyBorder="1" applyAlignment="1">
      <alignment horizontal="center" vertical="center" wrapText="1"/>
    </xf>
    <xf numFmtId="49" fontId="66" fillId="0" borderId="0" xfId="2" applyNumberFormat="1" applyFont="1" applyAlignment="1">
      <alignment horizontal="center" vertical="center" wrapText="1"/>
    </xf>
    <xf numFmtId="4" fontId="66" fillId="0" borderId="0" xfId="2" applyNumberFormat="1" applyFont="1" applyAlignment="1">
      <alignment horizontal="right" vertical="center" wrapText="1"/>
    </xf>
    <xf numFmtId="4" fontId="7" fillId="20" borderId="1" xfId="2" applyNumberFormat="1" applyFont="1" applyFill="1" applyBorder="1" applyAlignment="1">
      <alignment horizontal="center" vertical="center" wrapText="1"/>
    </xf>
    <xf numFmtId="0" fontId="7" fillId="20" borderId="6" xfId="2" applyFont="1" applyFill="1" applyBorder="1" applyAlignment="1">
      <alignment vertical="center" wrapText="1"/>
    </xf>
    <xf numFmtId="49" fontId="15" fillId="0" borderId="12" xfId="56" applyNumberFormat="1" applyFont="1" applyFill="1" applyBorder="1" applyAlignment="1">
      <alignment horizontal="center" vertical="center" wrapText="1"/>
    </xf>
    <xf numFmtId="164" fontId="15" fillId="0" borderId="0" xfId="2" applyNumberFormat="1" applyFont="1" applyFill="1"/>
    <xf numFmtId="49" fontId="1" fillId="0" borderId="5" xfId="0" applyNumberFormat="1" applyFont="1" applyBorder="1" applyAlignment="1">
      <alignment vertical="center"/>
    </xf>
    <xf numFmtId="164" fontId="1" fillId="0" borderId="0" xfId="0" applyNumberFormat="1" applyFont="1"/>
    <xf numFmtId="2" fontId="45" fillId="0" borderId="45" xfId="2" applyNumberFormat="1" applyFont="1" applyFill="1" applyBorder="1" applyAlignment="1">
      <alignment horizontal="center" vertical="top" wrapText="1"/>
    </xf>
    <xf numFmtId="2" fontId="45" fillId="0" borderId="44" xfId="2" applyNumberFormat="1" applyFont="1" applyFill="1" applyBorder="1" applyAlignment="1">
      <alignment horizontal="center" vertical="top" wrapText="1"/>
    </xf>
    <xf numFmtId="2" fontId="45" fillId="0" borderId="46" xfId="2" applyNumberFormat="1" applyFont="1" applyFill="1" applyBorder="1" applyAlignment="1">
      <alignment horizontal="center" vertical="top" wrapText="1"/>
    </xf>
    <xf numFmtId="2" fontId="50" fillId="0" borderId="45" xfId="2" applyNumberFormat="1" applyFont="1" applyFill="1" applyBorder="1" applyAlignment="1">
      <alignment horizontal="center" vertical="top" wrapText="1"/>
    </xf>
    <xf numFmtId="2" fontId="50" fillId="0" borderId="44" xfId="2" applyNumberFormat="1" applyFont="1" applyFill="1" applyBorder="1" applyAlignment="1">
      <alignment horizontal="center" vertical="top" wrapText="1"/>
    </xf>
    <xf numFmtId="2" fontId="50" fillId="0" borderId="46" xfId="2" applyNumberFormat="1" applyFont="1" applyFill="1" applyBorder="1" applyAlignment="1">
      <alignment horizontal="center" vertical="top" wrapText="1"/>
    </xf>
    <xf numFmtId="2" fontId="53" fillId="0" borderId="45" xfId="2" applyNumberFormat="1" applyFont="1" applyFill="1" applyBorder="1" applyAlignment="1">
      <alignment horizontal="center" vertical="top" wrapText="1"/>
    </xf>
    <xf numFmtId="2" fontId="53" fillId="0" borderId="44" xfId="2" applyNumberFormat="1" applyFont="1" applyFill="1" applyBorder="1" applyAlignment="1">
      <alignment horizontal="center" vertical="top" wrapText="1"/>
    </xf>
    <xf numFmtId="2" fontId="53" fillId="0" borderId="46" xfId="2" applyNumberFormat="1" applyFont="1" applyFill="1" applyBorder="1" applyAlignment="1">
      <alignment horizontal="center" vertical="top" wrapText="1"/>
    </xf>
    <xf numFmtId="2" fontId="47" fillId="0" borderId="47" xfId="2" applyNumberFormat="1" applyFont="1" applyFill="1" applyBorder="1" applyAlignment="1">
      <alignment horizontal="center" vertical="top" wrapText="1"/>
    </xf>
    <xf numFmtId="2" fontId="53" fillId="0" borderId="47" xfId="2" applyNumberFormat="1" applyFont="1" applyFill="1" applyBorder="1" applyAlignment="1">
      <alignment horizontal="center" vertical="top" wrapText="1"/>
    </xf>
    <xf numFmtId="2" fontId="53" fillId="0" borderId="49" xfId="2" applyNumberFormat="1" applyFont="1" applyFill="1" applyBorder="1" applyAlignment="1">
      <alignment horizontal="center" vertical="top" wrapText="1"/>
    </xf>
    <xf numFmtId="2" fontId="53" fillId="0" borderId="50" xfId="2" applyNumberFormat="1" applyFont="1" applyFill="1" applyBorder="1" applyAlignment="1">
      <alignment horizontal="center" vertical="top" wrapText="1"/>
    </xf>
    <xf numFmtId="2" fontId="53" fillId="0" borderId="53" xfId="2" applyNumberFormat="1" applyFont="1" applyFill="1" applyBorder="1" applyAlignment="1">
      <alignment horizontal="center" vertical="top" wrapText="1"/>
    </xf>
    <xf numFmtId="2" fontId="45" fillId="0" borderId="41" xfId="2" applyNumberFormat="1" applyFont="1" applyFill="1" applyBorder="1" applyAlignment="1">
      <alignment horizontal="center" vertical="top" wrapText="1"/>
    </xf>
    <xf numFmtId="2" fontId="45" fillId="0" borderId="38" xfId="2" applyNumberFormat="1" applyFont="1" applyFill="1" applyBorder="1" applyAlignment="1">
      <alignment horizontal="center" vertical="top" wrapText="1"/>
    </xf>
    <xf numFmtId="2" fontId="45" fillId="0" borderId="42" xfId="2" applyNumberFormat="1" applyFont="1" applyFill="1" applyBorder="1" applyAlignment="1">
      <alignment horizontal="center" vertical="top" wrapText="1"/>
    </xf>
    <xf numFmtId="49" fontId="7" fillId="20" borderId="57" xfId="2" applyNumberFormat="1" applyFont="1" applyFill="1" applyBorder="1" applyAlignment="1">
      <alignment horizontal="center" vertical="center" wrapText="1"/>
    </xf>
    <xf numFmtId="4" fontId="7" fillId="20" borderId="56" xfId="2" applyNumberFormat="1" applyFont="1" applyFill="1" applyBorder="1" applyAlignment="1">
      <alignment horizontal="center" vertical="center" wrapText="1"/>
    </xf>
    <xf numFmtId="0" fontId="15" fillId="20" borderId="6" xfId="2" applyFont="1" applyFill="1" applyBorder="1" applyAlignment="1">
      <alignment vertical="center" wrapText="1"/>
    </xf>
    <xf numFmtId="2" fontId="50" fillId="0" borderId="49" xfId="2" applyNumberFormat="1" applyFont="1" applyFill="1" applyBorder="1" applyAlignment="1">
      <alignment horizontal="center" vertical="top" wrapText="1"/>
    </xf>
    <xf numFmtId="2" fontId="50" fillId="0" borderId="47" xfId="2" applyNumberFormat="1" applyFont="1" applyFill="1" applyBorder="1" applyAlignment="1">
      <alignment horizontal="center" vertical="top"/>
    </xf>
    <xf numFmtId="2" fontId="50" fillId="0" borderId="50" xfId="2" applyNumberFormat="1" applyFont="1" applyFill="1" applyBorder="1" applyAlignment="1">
      <alignment horizontal="center" vertical="top"/>
    </xf>
    <xf numFmtId="2" fontId="53" fillId="0" borderId="47" xfId="2" applyNumberFormat="1" applyFont="1" applyFill="1" applyBorder="1" applyAlignment="1">
      <alignment horizontal="center" vertical="top"/>
    </xf>
    <xf numFmtId="2" fontId="53" fillId="0" borderId="50" xfId="2" applyNumberFormat="1" applyFont="1" applyFill="1" applyBorder="1" applyAlignment="1">
      <alignment horizontal="center" vertical="top"/>
    </xf>
    <xf numFmtId="2" fontId="47" fillId="0" borderId="47" xfId="2" applyNumberFormat="1" applyFont="1" applyFill="1" applyBorder="1" applyAlignment="1">
      <alignment horizontal="center" vertical="top"/>
    </xf>
    <xf numFmtId="2" fontId="53" fillId="0" borderId="52" xfId="2" applyNumberFormat="1" applyFont="1" applyFill="1" applyBorder="1" applyAlignment="1">
      <alignment horizontal="left" vertical="top" wrapText="1"/>
    </xf>
    <xf numFmtId="2" fontId="53" fillId="0" borderId="0" xfId="2" applyNumberFormat="1" applyFont="1" applyFill="1" applyBorder="1" applyAlignment="1">
      <alignment horizontal="center" vertical="top" wrapText="1"/>
    </xf>
    <xf numFmtId="2" fontId="53" fillId="0" borderId="52" xfId="2" applyNumberFormat="1" applyFont="1" applyFill="1" applyBorder="1" applyAlignment="1">
      <alignment horizontal="center" vertical="top"/>
    </xf>
    <xf numFmtId="2" fontId="53" fillId="0" borderId="53" xfId="2" applyNumberFormat="1" applyFont="1" applyFill="1" applyBorder="1" applyAlignment="1">
      <alignment horizontal="center" vertical="top"/>
    </xf>
    <xf numFmtId="2" fontId="45" fillId="0" borderId="38" xfId="2" applyNumberFormat="1" applyFont="1" applyBorder="1" applyAlignment="1">
      <alignment horizontal="left" vertical="top" wrapText="1"/>
    </xf>
    <xf numFmtId="2" fontId="45" fillId="0" borderId="41" xfId="2" applyNumberFormat="1" applyFont="1" applyFill="1" applyBorder="1" applyAlignment="1">
      <alignment horizontal="center" vertical="center" wrapText="1"/>
    </xf>
    <xf numFmtId="2" fontId="45" fillId="0" borderId="38" xfId="2" applyNumberFormat="1" applyFont="1" applyFill="1" applyBorder="1" applyAlignment="1">
      <alignment horizontal="center" vertical="center"/>
    </xf>
    <xf numFmtId="2" fontId="45" fillId="0" borderId="42" xfId="2" applyNumberFormat="1" applyFont="1" applyFill="1" applyBorder="1" applyAlignment="1">
      <alignment horizontal="center" vertical="center"/>
    </xf>
    <xf numFmtId="3" fontId="61" fillId="0" borderId="32" xfId="2" applyNumberFormat="1" applyFont="1" applyFill="1" applyBorder="1" applyAlignment="1">
      <alignment horizontal="center" vertical="center" wrapText="1"/>
    </xf>
    <xf numFmtId="3" fontId="61" fillId="0" borderId="59" xfId="2" applyNumberFormat="1" applyFont="1" applyFill="1" applyBorder="1" applyAlignment="1">
      <alignment horizontal="center" vertical="center" wrapText="1"/>
    </xf>
    <xf numFmtId="3" fontId="61" fillId="0" borderId="33" xfId="2" applyNumberFormat="1" applyFont="1" applyFill="1" applyBorder="1" applyAlignment="1">
      <alignment horizontal="center" vertical="center" wrapText="1"/>
    </xf>
    <xf numFmtId="49" fontId="85" fillId="0" borderId="1" xfId="2" applyNumberFormat="1" applyFont="1" applyFill="1" applyBorder="1" applyAlignment="1">
      <alignment horizontal="center" vertical="top"/>
    </xf>
    <xf numFmtId="0" fontId="85" fillId="0" borderId="1" xfId="2" applyFont="1" applyFill="1" applyBorder="1" applyAlignment="1">
      <alignment vertical="top" wrapText="1"/>
    </xf>
    <xf numFmtId="167" fontId="85" fillId="0" borderId="1" xfId="2" applyNumberFormat="1" applyFont="1" applyFill="1" applyBorder="1" applyAlignment="1">
      <alignment vertical="top" wrapText="1"/>
    </xf>
    <xf numFmtId="165" fontId="85" fillId="0" borderId="1" xfId="2" applyNumberFormat="1" applyFont="1" applyFill="1" applyBorder="1" applyAlignment="1">
      <alignment horizontal="right" vertical="top"/>
    </xf>
    <xf numFmtId="2" fontId="85" fillId="0" borderId="1" xfId="2" applyNumberFormat="1" applyFont="1" applyFill="1" applyBorder="1" applyAlignment="1">
      <alignment horizontal="center" vertical="center"/>
    </xf>
    <xf numFmtId="4" fontId="85" fillId="0" borderId="1" xfId="2" applyNumberFormat="1" applyFont="1" applyFill="1" applyBorder="1" applyAlignment="1">
      <alignment horizontal="center" vertical="center"/>
    </xf>
    <xf numFmtId="166" fontId="85" fillId="0" borderId="1" xfId="2" applyNumberFormat="1" applyFont="1" applyFill="1" applyBorder="1" applyAlignment="1">
      <alignment horizontal="center" vertical="center"/>
    </xf>
    <xf numFmtId="166" fontId="85" fillId="0" borderId="1" xfId="2" applyNumberFormat="1" applyFont="1" applyFill="1" applyBorder="1" applyAlignment="1">
      <alignment horizontal="right" vertical="top"/>
    </xf>
    <xf numFmtId="167" fontId="85" fillId="0" borderId="1" xfId="2" applyNumberFormat="1" applyFont="1" applyFill="1" applyBorder="1" applyAlignment="1">
      <alignment horizontal="left" vertical="center" wrapText="1"/>
    </xf>
    <xf numFmtId="49" fontId="85" fillId="0" borderId="20" xfId="2" applyNumberFormat="1" applyFont="1" applyFill="1" applyBorder="1" applyAlignment="1">
      <alignment horizontal="center" vertical="top"/>
    </xf>
    <xf numFmtId="0" fontId="85" fillId="0" borderId="20" xfId="2" applyFont="1" applyFill="1" applyBorder="1" applyAlignment="1">
      <alignment vertical="top" wrapText="1"/>
    </xf>
    <xf numFmtId="167" fontId="85" fillId="0" borderId="20" xfId="2" applyNumberFormat="1" applyFont="1" applyFill="1" applyBorder="1" applyAlignment="1">
      <alignment vertical="top" wrapText="1"/>
    </xf>
    <xf numFmtId="165" fontId="85" fillId="0" borderId="20" xfId="2" applyNumberFormat="1" applyFont="1" applyFill="1" applyBorder="1" applyAlignment="1">
      <alignment horizontal="right" vertical="top"/>
    </xf>
    <xf numFmtId="2" fontId="85" fillId="0" borderId="20" xfId="2" applyNumberFormat="1" applyFont="1" applyFill="1" applyBorder="1" applyAlignment="1">
      <alignment horizontal="center" vertical="center"/>
    </xf>
    <xf numFmtId="2" fontId="85" fillId="0" borderId="20" xfId="2" applyNumberFormat="1" applyFont="1" applyFill="1" applyBorder="1" applyAlignment="1">
      <alignment horizontal="center" vertical="center" wrapText="1"/>
    </xf>
    <xf numFmtId="4" fontId="85" fillId="0" borderId="20" xfId="2" applyNumberFormat="1" applyFont="1" applyFill="1" applyBorder="1" applyAlignment="1">
      <alignment horizontal="center" vertical="center"/>
    </xf>
    <xf numFmtId="165" fontId="85" fillId="0" borderId="20" xfId="2" applyNumberFormat="1" applyFont="1" applyFill="1" applyBorder="1" applyAlignment="1">
      <alignment horizontal="center" vertical="center"/>
    </xf>
    <xf numFmtId="49" fontId="56" fillId="0" borderId="2" xfId="2" applyNumberFormat="1" applyFont="1" applyFill="1" applyBorder="1" applyAlignment="1">
      <alignment horizontal="center" vertical="top"/>
    </xf>
    <xf numFmtId="49" fontId="85" fillId="0" borderId="3" xfId="2" applyNumberFormat="1" applyFont="1" applyFill="1" applyBorder="1" applyAlignment="1">
      <alignment horizontal="center" vertical="top"/>
    </xf>
    <xf numFmtId="49" fontId="56" fillId="0" borderId="3" xfId="2" applyNumberFormat="1" applyFont="1" applyFill="1" applyBorder="1" applyAlignment="1">
      <alignment horizontal="center" vertical="top"/>
    </xf>
    <xf numFmtId="0" fontId="56" fillId="0" borderId="3" xfId="2" applyFont="1" applyFill="1" applyBorder="1" applyAlignment="1">
      <alignment vertical="top" wrapText="1"/>
    </xf>
    <xf numFmtId="167" fontId="88" fillId="0" borderId="3" xfId="2" applyNumberFormat="1" applyFont="1" applyFill="1" applyBorder="1" applyAlignment="1">
      <alignment vertical="top" wrapText="1"/>
    </xf>
    <xf numFmtId="165" fontId="89" fillId="0" borderId="3" xfId="2" applyNumberFormat="1" applyFont="1" applyFill="1" applyBorder="1" applyAlignment="1">
      <alignment horizontal="center" vertical="top"/>
    </xf>
    <xf numFmtId="2" fontId="89" fillId="0" borderId="3" xfId="2" applyNumberFormat="1" applyFont="1" applyFill="1" applyBorder="1" applyAlignment="1">
      <alignment horizontal="center" vertical="center"/>
    </xf>
    <xf numFmtId="165" fontId="89" fillId="0" borderId="4" xfId="2" applyNumberFormat="1" applyFont="1" applyFill="1" applyBorder="1" applyAlignment="1">
      <alignment horizontal="center" vertical="top"/>
    </xf>
    <xf numFmtId="49" fontId="56" fillId="0" borderId="7" xfId="2" applyNumberFormat="1" applyFont="1" applyFill="1" applyBorder="1" applyAlignment="1">
      <alignment horizontal="center" vertical="top"/>
    </xf>
    <xf numFmtId="49" fontId="56" fillId="0" borderId="8" xfId="2" applyNumberFormat="1" applyFont="1" applyFill="1" applyBorder="1" applyAlignment="1">
      <alignment horizontal="center" vertical="top"/>
    </xf>
    <xf numFmtId="0" fontId="56" fillId="0" borderId="8" xfId="2" applyFont="1" applyFill="1" applyBorder="1" applyAlignment="1">
      <alignment vertical="top" wrapText="1"/>
    </xf>
    <xf numFmtId="167" fontId="56" fillId="0" borderId="8" xfId="2" applyNumberFormat="1" applyFont="1" applyFill="1" applyBorder="1" applyAlignment="1">
      <alignment vertical="top" wrapText="1"/>
    </xf>
    <xf numFmtId="165" fontId="89" fillId="0" borderId="8" xfId="2" applyNumberFormat="1" applyFont="1" applyFill="1" applyBorder="1" applyAlignment="1">
      <alignment horizontal="right" vertical="top"/>
    </xf>
    <xf numFmtId="2" fontId="89" fillId="0" borderId="8" xfId="2" applyNumberFormat="1" applyFont="1" applyFill="1" applyBorder="1" applyAlignment="1">
      <alignment horizontal="center" vertical="center"/>
    </xf>
    <xf numFmtId="166" fontId="90" fillId="0" borderId="8" xfId="2" applyNumberFormat="1" applyFont="1" applyFill="1" applyBorder="1" applyAlignment="1">
      <alignment horizontal="center" vertical="center"/>
    </xf>
    <xf numFmtId="167" fontId="90" fillId="0" borderId="8" xfId="2" applyNumberFormat="1" applyFont="1" applyFill="1" applyBorder="1" applyAlignment="1">
      <alignment horizontal="center" vertical="center"/>
    </xf>
    <xf numFmtId="167" fontId="90" fillId="0" borderId="71" xfId="2" applyNumberFormat="1" applyFont="1" applyFill="1" applyBorder="1" applyAlignment="1">
      <alignment horizontal="center" vertical="center"/>
    </xf>
    <xf numFmtId="49" fontId="85" fillId="0" borderId="19" xfId="2" applyNumberFormat="1" applyFont="1" applyFill="1" applyBorder="1" applyAlignment="1">
      <alignment horizontal="center" vertical="top"/>
    </xf>
    <xf numFmtId="165" fontId="85" fillId="0" borderId="21" xfId="2" applyNumberFormat="1" applyFont="1" applyFill="1" applyBorder="1" applyAlignment="1">
      <alignment horizontal="center" vertical="center"/>
    </xf>
    <xf numFmtId="49" fontId="85" fillId="0" borderId="5" xfId="2" applyNumberFormat="1" applyFont="1" applyFill="1" applyBorder="1" applyAlignment="1">
      <alignment horizontal="center" vertical="top"/>
    </xf>
    <xf numFmtId="165" fontId="85" fillId="0" borderId="6" xfId="2" applyNumberFormat="1" applyFont="1" applyFill="1" applyBorder="1" applyAlignment="1">
      <alignment horizontal="center" vertical="center"/>
    </xf>
    <xf numFmtId="0" fontId="7" fillId="0" borderId="6" xfId="2" applyFont="1" applyFill="1" applyBorder="1" applyAlignment="1">
      <alignment vertical="center" wrapText="1"/>
    </xf>
    <xf numFmtId="4" fontId="11" fillId="0" borderId="54" xfId="2" applyNumberFormat="1" applyFont="1" applyFill="1" applyBorder="1" applyAlignment="1">
      <alignment horizontal="center" vertical="center" wrapText="1"/>
    </xf>
    <xf numFmtId="4" fontId="7" fillId="0" borderId="20" xfId="2" applyNumberFormat="1" applyFont="1" applyFill="1" applyBorder="1" applyAlignment="1">
      <alignment horizontal="center" vertical="center" wrapText="1"/>
    </xf>
    <xf numFmtId="1" fontId="11" fillId="0" borderId="5" xfId="2" applyNumberFormat="1" applyFont="1" applyFill="1" applyBorder="1" applyAlignment="1">
      <alignment horizontal="left" vertical="center"/>
    </xf>
    <xf numFmtId="1" fontId="7" fillId="0" borderId="5" xfId="2" applyNumberFormat="1" applyFont="1" applyFill="1" applyBorder="1" applyAlignment="1">
      <alignment horizontal="left" vertical="center"/>
    </xf>
    <xf numFmtId="1" fontId="7" fillId="0" borderId="5" xfId="2" applyNumberFormat="1" applyFont="1" applyFill="1" applyBorder="1"/>
    <xf numFmtId="0" fontId="1" fillId="0" borderId="6" xfId="0" applyFont="1" applyFill="1" applyBorder="1" applyAlignment="1">
      <alignment horizontal="center" vertical="center" wrapText="1"/>
    </xf>
    <xf numFmtId="0" fontId="1" fillId="0" borderId="1" xfId="0" applyFont="1" applyFill="1" applyBorder="1"/>
    <xf numFmtId="0" fontId="1" fillId="0" borderId="6" xfId="0" applyFont="1" applyFill="1" applyBorder="1"/>
    <xf numFmtId="164" fontId="2"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xf>
    <xf numFmtId="164" fontId="1" fillId="0" borderId="6" xfId="0" applyNumberFormat="1" applyFont="1" applyFill="1" applyBorder="1" applyAlignment="1">
      <alignment horizontal="right" vertical="center"/>
    </xf>
    <xf numFmtId="164" fontId="2" fillId="0" borderId="8" xfId="0" applyNumberFormat="1" applyFont="1" applyFill="1" applyBorder="1" applyAlignment="1">
      <alignment horizontal="right"/>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8" xfId="0" applyFont="1" applyFill="1" applyBorder="1"/>
    <xf numFmtId="0" fontId="7" fillId="0" borderId="0" xfId="1" applyFont="1" applyAlignment="1">
      <alignment wrapText="1"/>
    </xf>
    <xf numFmtId="0" fontId="13" fillId="0" borderId="0" xfId="1" applyFont="1" applyFill="1" applyBorder="1" applyAlignment="1">
      <alignment horizontal="left" vertical="top" wrapText="1"/>
    </xf>
    <xf numFmtId="0" fontId="15" fillId="2" borderId="59" xfId="56" applyNumberFormat="1" applyFont="1" applyFill="1" applyBorder="1" applyAlignment="1" applyProtection="1"/>
    <xf numFmtId="0" fontId="15" fillId="2" borderId="0" xfId="56" applyNumberFormat="1" applyFont="1" applyFill="1" applyAlignment="1" applyProtection="1"/>
    <xf numFmtId="49" fontId="47" fillId="0" borderId="0" xfId="2" applyNumberFormat="1" applyFont="1" applyFill="1" applyAlignment="1">
      <alignment vertical="center"/>
    </xf>
    <xf numFmtId="0" fontId="47" fillId="0" borderId="0" xfId="2" applyFont="1" applyFill="1" applyAlignment="1">
      <alignment horizontal="justify" vertical="center"/>
    </xf>
    <xf numFmtId="0" fontId="99" fillId="0" borderId="0" xfId="0" applyFont="1"/>
    <xf numFmtId="164" fontId="64" fillId="0" borderId="57" xfId="2" applyNumberFormat="1" applyFont="1" applyFill="1" applyBorder="1" applyAlignment="1">
      <alignment horizontal="center" vertical="center"/>
    </xf>
    <xf numFmtId="2" fontId="45" fillId="0" borderId="44" xfId="2" applyNumberFormat="1" applyFont="1" applyBorder="1" applyAlignment="1">
      <alignment horizontal="right" vertical="top" wrapText="1"/>
    </xf>
    <xf numFmtId="2" fontId="50" fillId="0" borderId="44" xfId="2" applyNumberFormat="1" applyFont="1" applyBorder="1" applyAlignment="1">
      <alignment horizontal="right" vertical="top" wrapText="1"/>
    </xf>
    <xf numFmtId="2" fontId="53" fillId="0" borderId="44" xfId="2" applyNumberFormat="1" applyFont="1" applyBorder="1" applyAlignment="1">
      <alignment horizontal="right" vertical="top" wrapText="1"/>
    </xf>
    <xf numFmtId="2" fontId="45" fillId="0" borderId="47" xfId="2" applyNumberFormat="1" applyFont="1" applyBorder="1" applyAlignment="1">
      <alignment horizontal="right" vertical="top" wrapText="1"/>
    </xf>
    <xf numFmtId="2" fontId="50" fillId="0" borderId="47" xfId="2" applyNumberFormat="1" applyFont="1" applyBorder="1" applyAlignment="1">
      <alignment horizontal="right" vertical="top" wrapText="1"/>
    </xf>
    <xf numFmtId="2" fontId="45" fillId="0" borderId="47" xfId="2" applyNumberFormat="1" applyFont="1" applyFill="1" applyBorder="1" applyAlignment="1">
      <alignment horizontal="right" vertical="top" wrapText="1"/>
    </xf>
    <xf numFmtId="2" fontId="50" fillId="0" borderId="47" xfId="2" applyNumberFormat="1" applyFont="1" applyFill="1" applyBorder="1" applyAlignment="1">
      <alignment horizontal="right" vertical="top" wrapText="1"/>
    </xf>
    <xf numFmtId="2" fontId="50" fillId="0" borderId="52" xfId="2" applyNumberFormat="1" applyFont="1" applyFill="1" applyBorder="1" applyAlignment="1">
      <alignment horizontal="right" vertical="top" wrapText="1"/>
    </xf>
    <xf numFmtId="2" fontId="45" fillId="0" borderId="38" xfId="2" applyNumberFormat="1" applyFont="1" applyBorder="1" applyAlignment="1">
      <alignment horizontal="right" vertical="top" wrapText="1"/>
    </xf>
    <xf numFmtId="2" fontId="50" fillId="0" borderId="47" xfId="2" applyNumberFormat="1" applyFont="1" applyBorder="1" applyAlignment="1">
      <alignment horizontal="right" vertical="top"/>
    </xf>
    <xf numFmtId="2" fontId="53" fillId="0" borderId="47" xfId="2" applyNumberFormat="1" applyFont="1" applyBorder="1" applyAlignment="1">
      <alignment horizontal="right" vertical="top"/>
    </xf>
    <xf numFmtId="2" fontId="45" fillId="0" borderId="47" xfId="2" applyNumberFormat="1" applyFont="1" applyBorder="1" applyAlignment="1">
      <alignment horizontal="right" vertical="top"/>
    </xf>
    <xf numFmtId="164" fontId="64" fillId="0" borderId="0" xfId="2" applyNumberFormat="1" applyFont="1" applyFill="1" applyBorder="1" applyAlignment="1">
      <alignment horizontal="center" vertical="center"/>
    </xf>
    <xf numFmtId="0" fontId="45" fillId="0" borderId="40" xfId="2" applyFont="1" applyBorder="1" applyAlignment="1">
      <alignment horizontal="center" vertical="distributed" wrapText="1"/>
    </xf>
    <xf numFmtId="0" fontId="45" fillId="0" borderId="41" xfId="2" applyFont="1" applyBorder="1" applyAlignment="1">
      <alignment horizontal="center" vertical="distributed" wrapText="1"/>
    </xf>
    <xf numFmtId="0" fontId="45" fillId="0" borderId="42" xfId="2" applyFont="1" applyBorder="1" applyAlignment="1">
      <alignment horizontal="center" vertical="distributed" wrapText="1"/>
    </xf>
    <xf numFmtId="0" fontId="45" fillId="0" borderId="0" xfId="2" applyFont="1" applyAlignment="1">
      <alignment horizontal="center" vertical="center"/>
    </xf>
    <xf numFmtId="0" fontId="45" fillId="0" borderId="0" xfId="2" applyFont="1" applyAlignment="1">
      <alignment horizontal="center"/>
    </xf>
    <xf numFmtId="0" fontId="22" fillId="0" borderId="52" xfId="2" applyFont="1" applyFill="1" applyBorder="1" applyAlignment="1">
      <alignment horizontal="center" vertical="center" wrapText="1"/>
    </xf>
    <xf numFmtId="0" fontId="22" fillId="0" borderId="64" xfId="2" applyFont="1" applyFill="1" applyBorder="1" applyAlignment="1">
      <alignment horizontal="center" vertical="center" wrapText="1"/>
    </xf>
    <xf numFmtId="49" fontId="7" fillId="0" borderId="57" xfId="2" applyNumberFormat="1" applyFont="1" applyFill="1" applyBorder="1" applyAlignment="1">
      <alignment horizontal="center" vertical="center" wrapText="1"/>
    </xf>
    <xf numFmtId="0" fontId="15" fillId="0" borderId="6" xfId="2" applyFont="1" applyFill="1" applyBorder="1" applyAlignment="1">
      <alignment vertical="center" wrapText="1"/>
    </xf>
    <xf numFmtId="0" fontId="2" fillId="0" borderId="1" xfId="0" applyFont="1" applyBorder="1" applyAlignment="1">
      <alignment horizontal="center" vertical="center" wrapText="1"/>
    </xf>
    <xf numFmtId="164" fontId="2" fillId="0" borderId="6" xfId="0" applyNumberFormat="1" applyFont="1" applyFill="1" applyBorder="1" applyAlignment="1">
      <alignment horizontal="right" vertical="center" wrapText="1"/>
    </xf>
    <xf numFmtId="4" fontId="102" fillId="2" borderId="1" xfId="2" applyNumberFormat="1" applyFont="1" applyFill="1" applyBorder="1" applyAlignment="1">
      <alignment horizontal="center" vertical="center" wrapText="1"/>
    </xf>
    <xf numFmtId="2" fontId="11" fillId="2" borderId="17" xfId="56" applyNumberFormat="1" applyFont="1" applyFill="1" applyBorder="1" applyAlignment="1">
      <alignment horizontal="center" vertical="center"/>
    </xf>
    <xf numFmtId="2" fontId="11" fillId="2" borderId="1" xfId="49" applyNumberFormat="1" applyFont="1" applyFill="1" applyBorder="1" applyAlignment="1">
      <alignment horizontal="center" vertical="center"/>
    </xf>
    <xf numFmtId="2" fontId="7" fillId="0" borderId="1" xfId="49" applyNumberFormat="1" applyFont="1" applyFill="1" applyBorder="1" applyAlignment="1">
      <alignment horizontal="center" vertical="center"/>
    </xf>
    <xf numFmtId="49" fontId="64" fillId="0" borderId="5" xfId="2" applyNumberFormat="1" applyFont="1" applyFill="1" applyBorder="1" applyAlignment="1">
      <alignment horizontal="center" vertical="center" wrapText="1"/>
    </xf>
    <xf numFmtId="2" fontId="64" fillId="0" borderId="1" xfId="49" applyNumberFormat="1" applyFont="1" applyFill="1" applyBorder="1" applyAlignment="1">
      <alignment horizontal="center" vertical="center"/>
    </xf>
    <xf numFmtId="2" fontId="11" fillId="2" borderId="6" xfId="49" applyNumberFormat="1" applyFont="1" applyFill="1" applyBorder="1" applyAlignment="1">
      <alignment horizontal="center" vertical="center"/>
    </xf>
    <xf numFmtId="1" fontId="64" fillId="2" borderId="12" xfId="49" applyNumberFormat="1" applyFont="1" applyFill="1" applyBorder="1" applyAlignment="1">
      <alignment horizontal="center" vertical="center"/>
    </xf>
    <xf numFmtId="2" fontId="19" fillId="0" borderId="0" xfId="56" applyNumberFormat="1" applyFont="1" applyFill="1" applyAlignment="1" applyProtection="1"/>
    <xf numFmtId="4" fontId="7" fillId="0" borderId="1" xfId="2" applyNumberFormat="1" applyFont="1" applyFill="1" applyBorder="1" applyAlignment="1">
      <alignment horizontal="center" vertical="center" wrapText="1"/>
    </xf>
    <xf numFmtId="0" fontId="11" fillId="0" borderId="1" xfId="2" applyFont="1" applyFill="1" applyBorder="1" applyAlignment="1">
      <alignment horizontal="left" vertical="center"/>
    </xf>
    <xf numFmtId="0" fontId="15" fillId="0" borderId="1" xfId="2" applyFont="1" applyFill="1" applyBorder="1" applyAlignment="1">
      <alignment horizontal="left" vertical="center"/>
    </xf>
    <xf numFmtId="0" fontId="15" fillId="0" borderId="2" xfId="2" applyFont="1" applyFill="1" applyBorder="1" applyAlignment="1">
      <alignment horizontal="center" vertical="top" wrapText="1"/>
    </xf>
    <xf numFmtId="0" fontId="15" fillId="0" borderId="3" xfId="2" applyFont="1" applyFill="1" applyBorder="1" applyAlignment="1">
      <alignment horizontal="center" vertical="top" wrapText="1"/>
    </xf>
    <xf numFmtId="0" fontId="15" fillId="0" borderId="4" xfId="2" applyFont="1" applyFill="1" applyBorder="1" applyAlignment="1">
      <alignment horizontal="center" vertical="top" wrapText="1"/>
    </xf>
    <xf numFmtId="0" fontId="15" fillId="0" borderId="5" xfId="2" applyFont="1" applyFill="1" applyBorder="1" applyAlignment="1">
      <alignment horizontal="center" vertical="top" wrapText="1"/>
    </xf>
    <xf numFmtId="0" fontId="15" fillId="0" borderId="6" xfId="2" applyFont="1" applyFill="1" applyBorder="1" applyAlignment="1">
      <alignment horizontal="center" vertical="top" wrapText="1"/>
    </xf>
    <xf numFmtId="0" fontId="11" fillId="0" borderId="5" xfId="2" applyFont="1" applyFill="1" applyBorder="1" applyAlignment="1">
      <alignment horizontal="center" vertical="center"/>
    </xf>
    <xf numFmtId="164" fontId="11" fillId="0" borderId="6" xfId="2" applyNumberFormat="1" applyFont="1" applyFill="1" applyBorder="1" applyAlignment="1">
      <alignment horizontal="center" vertical="center"/>
    </xf>
    <xf numFmtId="0" fontId="15" fillId="0" borderId="5" xfId="2" applyFont="1" applyFill="1" applyBorder="1" applyAlignment="1">
      <alignment horizontal="center" vertical="center"/>
    </xf>
    <xf numFmtId="164" fontId="15" fillId="0" borderId="6" xfId="2" applyNumberFormat="1" applyFont="1" applyFill="1" applyBorder="1" applyAlignment="1">
      <alignment horizontal="center" vertical="center"/>
    </xf>
    <xf numFmtId="0" fontId="7" fillId="0" borderId="5" xfId="2" applyFont="1" applyFill="1" applyBorder="1" applyAlignment="1">
      <alignment horizontal="center" vertical="center"/>
    </xf>
    <xf numFmtId="164" fontId="7" fillId="0" borderId="6" xfId="2" applyNumberFormat="1" applyFont="1" applyFill="1" applyBorder="1" applyAlignment="1">
      <alignment horizontal="center" vertical="center"/>
    </xf>
    <xf numFmtId="164" fontId="15" fillId="20" borderId="6" xfId="2" applyNumberFormat="1" applyFont="1" applyFill="1" applyBorder="1" applyAlignment="1">
      <alignment horizontal="center" vertical="center"/>
    </xf>
    <xf numFmtId="0" fontId="64" fillId="20" borderId="5" xfId="2" applyFont="1" applyFill="1" applyBorder="1" applyAlignment="1">
      <alignment horizontal="center" vertical="center"/>
    </xf>
    <xf numFmtId="0" fontId="1" fillId="0" borderId="5" xfId="0" quotePrefix="1" applyFont="1" applyBorder="1" applyAlignment="1">
      <alignment vertical="center"/>
    </xf>
    <xf numFmtId="0" fontId="19" fillId="2" borderId="12" xfId="2" applyFont="1" applyFill="1" applyBorder="1" applyAlignment="1">
      <alignment horizontal="left" vertical="center" wrapText="1"/>
    </xf>
    <xf numFmtId="49" fontId="72" fillId="0" borderId="63" xfId="56" applyNumberFormat="1" applyFont="1" applyFill="1" applyBorder="1" applyAlignment="1">
      <alignment horizontal="center" vertical="center" wrapText="1"/>
    </xf>
    <xf numFmtId="49" fontId="64" fillId="2" borderId="69" xfId="56" applyNumberFormat="1" applyFont="1" applyFill="1" applyBorder="1" applyAlignment="1">
      <alignment horizontal="center" vertical="center" wrapText="1"/>
    </xf>
    <xf numFmtId="49" fontId="64" fillId="2" borderId="56" xfId="56" applyNumberFormat="1" applyFont="1" applyFill="1" applyBorder="1" applyAlignment="1">
      <alignment horizontal="center" vertical="center" wrapText="1"/>
    </xf>
    <xf numFmtId="49" fontId="15" fillId="2" borderId="56" xfId="56" applyNumberFormat="1" applyFont="1" applyFill="1" applyBorder="1" applyAlignment="1">
      <alignment horizontal="center" vertical="center" wrapText="1"/>
    </xf>
    <xf numFmtId="49" fontId="15" fillId="3" borderId="56" xfId="56" applyNumberFormat="1" applyFont="1" applyFill="1" applyBorder="1" applyAlignment="1">
      <alignment horizontal="center" vertical="center" wrapText="1"/>
    </xf>
    <xf numFmtId="49" fontId="15" fillId="0" borderId="56" xfId="56" applyNumberFormat="1" applyFont="1" applyFill="1" applyBorder="1" applyAlignment="1">
      <alignment horizontal="center" vertical="center" wrapText="1"/>
    </xf>
    <xf numFmtId="49" fontId="15" fillId="2" borderId="56" xfId="2" applyNumberFormat="1" applyFont="1" applyFill="1" applyBorder="1" applyAlignment="1">
      <alignment horizontal="center" vertical="center" wrapText="1"/>
    </xf>
    <xf numFmtId="49" fontId="64" fillId="2" borderId="56" xfId="2" applyNumberFormat="1" applyFont="1" applyFill="1" applyBorder="1" applyAlignment="1">
      <alignment horizontal="center" vertical="center" wrapText="1"/>
    </xf>
    <xf numFmtId="49" fontId="15" fillId="2" borderId="54" xfId="2" applyNumberFormat="1" applyFont="1" applyFill="1" applyBorder="1" applyAlignment="1">
      <alignment horizontal="center" vertical="center" wrapText="1"/>
    </xf>
    <xf numFmtId="49" fontId="15" fillId="0" borderId="56" xfId="2" applyNumberFormat="1" applyFont="1" applyFill="1" applyBorder="1" applyAlignment="1">
      <alignment horizontal="center" vertical="center" wrapText="1"/>
    </xf>
    <xf numFmtId="49" fontId="15" fillId="0" borderId="54" xfId="56" applyNumberFormat="1" applyFont="1" applyFill="1" applyBorder="1" applyAlignment="1">
      <alignment horizontal="center" vertical="center" wrapText="1"/>
    </xf>
    <xf numFmtId="49" fontId="64" fillId="2" borderId="54" xfId="2" applyNumberFormat="1" applyFont="1" applyFill="1" applyBorder="1" applyAlignment="1">
      <alignment horizontal="center" vertical="center" wrapText="1"/>
    </xf>
    <xf numFmtId="49" fontId="15" fillId="2" borderId="63" xfId="56" applyNumberFormat="1" applyFont="1" applyFill="1" applyBorder="1" applyAlignment="1">
      <alignment horizontal="center" vertical="center" wrapText="1"/>
    </xf>
    <xf numFmtId="0" fontId="72" fillId="0" borderId="16" xfId="56" applyFont="1" applyFill="1" applyBorder="1" applyAlignment="1">
      <alignment horizontal="center" vertical="center" wrapText="1"/>
    </xf>
    <xf numFmtId="1" fontId="72" fillId="0" borderId="18" xfId="49" applyNumberFormat="1" applyFont="1" applyFill="1" applyBorder="1" applyAlignment="1">
      <alignment vertical="center"/>
    </xf>
    <xf numFmtId="0" fontId="64" fillId="2" borderId="19" xfId="56" applyFont="1" applyFill="1" applyBorder="1" applyAlignment="1">
      <alignment horizontal="center" vertical="center" wrapText="1"/>
    </xf>
    <xf numFmtId="0" fontId="64" fillId="2" borderId="5" xfId="56" applyFont="1" applyFill="1" applyBorder="1" applyAlignment="1">
      <alignment horizontal="center" vertical="center" wrapText="1"/>
    </xf>
    <xf numFmtId="0" fontId="15" fillId="2" borderId="5" xfId="56" applyFont="1" applyFill="1" applyBorder="1" applyAlignment="1">
      <alignment horizontal="left" vertical="center" wrapText="1"/>
    </xf>
    <xf numFmtId="0" fontId="15" fillId="2" borderId="22" xfId="56" applyFont="1" applyFill="1" applyBorder="1" applyAlignment="1">
      <alignment horizontal="left" vertical="center" wrapText="1"/>
    </xf>
    <xf numFmtId="0" fontId="15" fillId="0" borderId="22" xfId="2" applyFont="1" applyFill="1" applyBorder="1" applyAlignment="1">
      <alignment horizontal="left" vertical="center" wrapText="1"/>
    </xf>
    <xf numFmtId="0" fontId="15" fillId="0" borderId="22" xfId="56" applyFont="1" applyFill="1" applyBorder="1" applyAlignment="1">
      <alignment horizontal="left" vertical="center" wrapText="1"/>
    </xf>
    <xf numFmtId="0" fontId="15" fillId="0" borderId="5" xfId="2" applyFont="1" applyFill="1" applyBorder="1" applyAlignment="1">
      <alignment horizontal="left" vertical="center" wrapText="1"/>
    </xf>
    <xf numFmtId="0" fontId="64" fillId="0" borderId="5" xfId="2" applyFont="1" applyFill="1" applyBorder="1" applyAlignment="1">
      <alignment horizontal="left" vertical="center" wrapText="1"/>
    </xf>
    <xf numFmtId="0" fontId="64" fillId="2" borderId="5" xfId="2" applyFont="1" applyFill="1" applyBorder="1" applyAlignment="1">
      <alignment horizontal="left" vertical="center" wrapText="1"/>
    </xf>
    <xf numFmtId="0" fontId="15" fillId="2" borderId="22" xfId="2" applyFont="1" applyFill="1" applyBorder="1" applyAlignment="1">
      <alignment horizontal="center" vertical="center" wrapText="1"/>
    </xf>
    <xf numFmtId="1" fontId="7" fillId="2" borderId="5" xfId="49" applyNumberFormat="1" applyFont="1" applyFill="1" applyBorder="1" applyAlignment="1">
      <alignment horizontal="left" vertical="top"/>
    </xf>
    <xf numFmtId="1" fontId="7" fillId="2" borderId="5" xfId="49" applyNumberFormat="1" applyFont="1" applyFill="1" applyBorder="1" applyAlignment="1">
      <alignment horizontal="left" vertical="top" wrapText="1"/>
    </xf>
    <xf numFmtId="0" fontId="15" fillId="2" borderId="5" xfId="2" applyFont="1" applyFill="1" applyBorder="1" applyAlignment="1">
      <alignment horizontal="center" vertical="center" wrapText="1"/>
    </xf>
    <xf numFmtId="0" fontId="15" fillId="3" borderId="5" xfId="2" applyFont="1" applyFill="1" applyBorder="1" applyAlignment="1">
      <alignment horizontal="center" vertical="center" wrapText="1"/>
    </xf>
    <xf numFmtId="1" fontId="7" fillId="3" borderId="6" xfId="49" applyNumberFormat="1" applyFont="1" applyFill="1" applyBorder="1" applyAlignment="1">
      <alignment horizontal="center" vertical="center"/>
    </xf>
    <xf numFmtId="0" fontId="15" fillId="2" borderId="22" xfId="2" applyFont="1" applyFill="1" applyBorder="1" applyAlignment="1">
      <alignment horizontal="left" vertical="center" wrapText="1"/>
    </xf>
    <xf numFmtId="2" fontId="64" fillId="0" borderId="6" xfId="49" applyNumberFormat="1" applyFont="1" applyFill="1" applyBorder="1" applyAlignment="1">
      <alignment horizontal="center" vertical="center"/>
    </xf>
    <xf numFmtId="1" fontId="64" fillId="0" borderId="6" xfId="49" applyNumberFormat="1" applyFont="1" applyFill="1" applyBorder="1" applyAlignment="1">
      <alignment horizontal="center" vertical="center"/>
    </xf>
    <xf numFmtId="1" fontId="64" fillId="2" borderId="6" xfId="49" applyNumberFormat="1" applyFont="1" applyFill="1" applyBorder="1" applyAlignment="1">
      <alignment horizontal="center" vertical="center"/>
    </xf>
    <xf numFmtId="0" fontId="64" fillId="2" borderId="22" xfId="2" applyFont="1" applyFill="1" applyBorder="1" applyAlignment="1">
      <alignment horizontal="left" vertical="center" wrapText="1"/>
    </xf>
    <xf numFmtId="0" fontId="15" fillId="20" borderId="22" xfId="2" applyFont="1" applyFill="1" applyBorder="1" applyAlignment="1">
      <alignment horizontal="left" vertical="center" wrapText="1"/>
    </xf>
    <xf numFmtId="0" fontId="64" fillId="2" borderId="16" xfId="56" applyFont="1" applyFill="1" applyBorder="1" applyAlignment="1">
      <alignment horizontal="center" vertical="center" wrapText="1"/>
    </xf>
    <xf numFmtId="2" fontId="11" fillId="2" borderId="18" xfId="56" applyNumberFormat="1" applyFont="1" applyFill="1" applyBorder="1" applyAlignment="1">
      <alignment horizontal="center" vertical="center"/>
    </xf>
    <xf numFmtId="0" fontId="7" fillId="20" borderId="5" xfId="2" applyFont="1" applyFill="1" applyBorder="1" applyAlignment="1">
      <alignment horizontal="left" vertical="center" wrapText="1"/>
    </xf>
    <xf numFmtId="2" fontId="64" fillId="2" borderId="1" xfId="49" applyNumberFormat="1" applyFont="1" applyFill="1" applyBorder="1" applyAlignment="1">
      <alignment horizontal="center" vertical="center"/>
    </xf>
    <xf numFmtId="2" fontId="78" fillId="2" borderId="1" xfId="1" applyNumberFormat="1" applyFont="1" applyFill="1" applyBorder="1" applyAlignment="1">
      <alignment horizontal="center" vertical="center"/>
    </xf>
    <xf numFmtId="2" fontId="15" fillId="2" borderId="1" xfId="49" applyNumberFormat="1" applyFont="1" applyFill="1" applyBorder="1" applyAlignment="1">
      <alignment horizontal="center" vertical="center"/>
    </xf>
    <xf numFmtId="2" fontId="7" fillId="2" borderId="1" xfId="49" applyNumberFormat="1" applyFont="1" applyFill="1" applyBorder="1" applyAlignment="1">
      <alignment horizontal="center" vertical="center"/>
    </xf>
    <xf numFmtId="2" fontId="19" fillId="2" borderId="59" xfId="56" applyNumberFormat="1" applyFont="1" applyFill="1" applyBorder="1" applyAlignment="1" applyProtection="1"/>
    <xf numFmtId="2" fontId="76" fillId="0" borderId="1" xfId="1" applyNumberFormat="1" applyFont="1" applyFill="1" applyBorder="1" applyAlignment="1">
      <alignment horizontal="center" vertical="center"/>
    </xf>
    <xf numFmtId="49" fontId="7" fillId="0" borderId="3" xfId="2" applyNumberFormat="1" applyFont="1" applyFill="1" applyBorder="1" applyAlignment="1">
      <alignment horizontal="center" vertical="center" wrapText="1"/>
    </xf>
    <xf numFmtId="0" fontId="70" fillId="2" borderId="12" xfId="56" applyNumberFormat="1" applyFont="1" applyFill="1" applyBorder="1" applyAlignment="1" applyProtection="1">
      <alignment horizontal="center" vertical="center" wrapText="1"/>
    </xf>
    <xf numFmtId="0" fontId="68" fillId="2" borderId="12" xfId="56" applyNumberFormat="1" applyFont="1" applyFill="1" applyBorder="1" applyAlignment="1" applyProtection="1">
      <alignment horizontal="center" vertical="center" wrapText="1"/>
    </xf>
    <xf numFmtId="0" fontId="64" fillId="0" borderId="0" xfId="56" applyNumberFormat="1" applyFont="1" applyFill="1" applyBorder="1" applyAlignment="1" applyProtection="1">
      <alignment horizontal="center" vertical="top" wrapText="1"/>
    </xf>
    <xf numFmtId="0" fontId="15" fillId="20" borderId="5" xfId="2" applyFont="1" applyFill="1" applyBorder="1" applyAlignment="1">
      <alignment horizontal="left" vertical="center" wrapText="1"/>
    </xf>
    <xf numFmtId="4" fontId="15" fillId="20" borderId="56" xfId="2" applyNumberFormat="1" applyFont="1" applyFill="1" applyBorder="1" applyAlignment="1">
      <alignment horizontal="center" vertical="center" wrapText="1"/>
    </xf>
    <xf numFmtId="0" fontId="15" fillId="20" borderId="6" xfId="2" applyFont="1" applyFill="1" applyBorder="1" applyAlignment="1">
      <alignment vertical="top" wrapText="1"/>
    </xf>
    <xf numFmtId="170" fontId="1" fillId="20" borderId="1" xfId="0" applyNumberFormat="1" applyFont="1" applyFill="1" applyBorder="1" applyAlignment="1">
      <alignment horizontal="right" vertical="center"/>
    </xf>
    <xf numFmtId="0" fontId="99" fillId="20" borderId="6" xfId="2" applyFont="1" applyFill="1" applyBorder="1" applyAlignment="1">
      <alignment vertical="center" wrapText="1"/>
    </xf>
    <xf numFmtId="0" fontId="99" fillId="20" borderId="6" xfId="2" applyFont="1" applyFill="1" applyBorder="1" applyAlignment="1">
      <alignment vertical="top" wrapText="1"/>
    </xf>
    <xf numFmtId="0" fontId="15" fillId="20" borderId="1" xfId="2" applyFont="1" applyFill="1" applyBorder="1" applyAlignment="1">
      <alignment horizontal="left" vertical="center" wrapText="1"/>
    </xf>
    <xf numFmtId="0" fontId="7" fillId="20" borderId="5" xfId="2" applyFont="1" applyFill="1" applyBorder="1" applyAlignment="1">
      <alignment horizontal="center" vertical="center"/>
    </xf>
    <xf numFmtId="0" fontId="15" fillId="20" borderId="1" xfId="2" applyFont="1" applyFill="1" applyBorder="1" applyAlignment="1">
      <alignment horizontal="left" vertical="center"/>
    </xf>
    <xf numFmtId="164" fontId="7" fillId="20" borderId="6" xfId="2" applyNumberFormat="1" applyFont="1" applyFill="1" applyBorder="1" applyAlignment="1">
      <alignment horizontal="center" vertical="center"/>
    </xf>
    <xf numFmtId="0" fontId="11" fillId="20" borderId="5" xfId="2" applyFont="1" applyFill="1" applyBorder="1" applyAlignment="1">
      <alignment horizontal="center" vertical="center"/>
    </xf>
    <xf numFmtId="0" fontId="64" fillId="20" borderId="1" xfId="2" applyFont="1" applyFill="1" applyBorder="1" applyAlignment="1">
      <alignment horizontal="left" vertical="center"/>
    </xf>
    <xf numFmtId="164" fontId="11" fillId="20" borderId="6" xfId="2" applyNumberFormat="1" applyFont="1" applyFill="1" applyBorder="1" applyAlignment="1">
      <alignment horizontal="center" vertical="center"/>
    </xf>
    <xf numFmtId="164" fontId="64" fillId="20" borderId="6" xfId="2" applyNumberFormat="1" applyFont="1" applyFill="1" applyBorder="1" applyAlignment="1">
      <alignment horizontal="center" vertical="center"/>
    </xf>
    <xf numFmtId="0" fontId="15" fillId="20" borderId="5" xfId="2" applyFont="1" applyFill="1" applyBorder="1"/>
    <xf numFmtId="0" fontId="11" fillId="20" borderId="1" xfId="2" applyFont="1" applyFill="1" applyBorder="1" applyAlignment="1">
      <alignment horizontal="left" vertical="center" wrapText="1"/>
    </xf>
    <xf numFmtId="0" fontId="11" fillId="20" borderId="1" xfId="2" applyFont="1" applyFill="1" applyBorder="1" applyAlignment="1">
      <alignment horizontal="centerContinuous" vertical="center" wrapText="1"/>
    </xf>
    <xf numFmtId="0" fontId="15" fillId="20" borderId="1" xfId="2" applyFont="1" applyFill="1" applyBorder="1" applyAlignment="1">
      <alignment horizontal="centerContinuous" vertical="center" wrapText="1"/>
    </xf>
    <xf numFmtId="0" fontId="11" fillId="20" borderId="5" xfId="2" applyFont="1" applyFill="1" applyBorder="1" applyAlignment="1">
      <alignment horizontal="center"/>
    </xf>
    <xf numFmtId="0" fontId="11" fillId="20" borderId="1" xfId="2" applyFont="1" applyFill="1" applyBorder="1" applyAlignment="1">
      <alignment horizontal="left" vertical="center"/>
    </xf>
    <xf numFmtId="164" fontId="11" fillId="20" borderId="6" xfId="2" applyNumberFormat="1" applyFont="1" applyFill="1" applyBorder="1" applyAlignment="1">
      <alignment horizontal="center"/>
    </xf>
    <xf numFmtId="0" fontId="11" fillId="20" borderId="7" xfId="2" applyFont="1" applyFill="1" applyBorder="1" applyAlignment="1">
      <alignment horizontal="center"/>
    </xf>
    <xf numFmtId="0" fontId="11" fillId="20" borderId="8" xfId="2" applyFont="1" applyFill="1" applyBorder="1" applyAlignment="1">
      <alignment horizontal="left" vertical="center"/>
    </xf>
    <xf numFmtId="164" fontId="11" fillId="20" borderId="71" xfId="2" applyNumberFormat="1" applyFont="1" applyFill="1" applyBorder="1" applyAlignment="1">
      <alignment horizontal="center"/>
    </xf>
    <xf numFmtId="0" fontId="15" fillId="20" borderId="0" xfId="2" applyFont="1" applyFill="1"/>
    <xf numFmtId="0" fontId="15" fillId="20" borderId="0" xfId="2" applyFont="1" applyFill="1" applyAlignment="1">
      <alignment horizontal="right"/>
    </xf>
    <xf numFmtId="0" fontId="15" fillId="20" borderId="2" xfId="2" applyFont="1" applyFill="1" applyBorder="1" applyAlignment="1">
      <alignment horizontal="center" vertical="top" wrapText="1"/>
    </xf>
    <xf numFmtId="0" fontId="15" fillId="20" borderId="3" xfId="2" applyFont="1" applyFill="1" applyBorder="1" applyAlignment="1">
      <alignment horizontal="center" vertical="top" wrapText="1"/>
    </xf>
    <xf numFmtId="0" fontId="15" fillId="20" borderId="4" xfId="2" applyFont="1" applyFill="1" applyBorder="1" applyAlignment="1">
      <alignment horizontal="center" vertical="top" wrapText="1"/>
    </xf>
    <xf numFmtId="0" fontId="15" fillId="20" borderId="22" xfId="2" applyFont="1" applyFill="1" applyBorder="1" applyAlignment="1">
      <alignment horizontal="center" vertical="top" wrapText="1"/>
    </xf>
    <xf numFmtId="0" fontId="15" fillId="20" borderId="12" xfId="2" applyFont="1" applyFill="1" applyBorder="1" applyAlignment="1">
      <alignment horizontal="center" vertical="top" wrapText="1"/>
    </xf>
    <xf numFmtId="0" fontId="15" fillId="20" borderId="14" xfId="2" applyFont="1" applyFill="1" applyBorder="1" applyAlignment="1">
      <alignment horizontal="center" vertical="top" wrapText="1"/>
    </xf>
    <xf numFmtId="0" fontId="19" fillId="20" borderId="1" xfId="2" applyFont="1" applyFill="1" applyBorder="1" applyAlignment="1">
      <alignment horizontal="left" wrapText="1"/>
    </xf>
    <xf numFmtId="0" fontId="15" fillId="20" borderId="6" xfId="2" applyFont="1" applyFill="1" applyBorder="1" applyAlignment="1">
      <alignment horizontal="center" vertical="center"/>
    </xf>
    <xf numFmtId="0" fontId="11" fillId="20" borderId="5" xfId="2" applyFont="1" applyFill="1" applyBorder="1" applyAlignment="1">
      <alignment horizontal="centerContinuous" vertical="center"/>
    </xf>
    <xf numFmtId="0" fontId="11" fillId="20" borderId="1" xfId="2" applyFont="1" applyFill="1" applyBorder="1" applyAlignment="1">
      <alignment horizontal="centerContinuous" vertical="center"/>
    </xf>
    <xf numFmtId="164" fontId="11" fillId="20" borderId="5" xfId="2" applyNumberFormat="1" applyFont="1" applyFill="1" applyBorder="1" applyAlignment="1">
      <alignment horizontal="center" vertical="center"/>
    </xf>
    <xf numFmtId="164" fontId="11" fillId="20" borderId="1" xfId="2" applyNumberFormat="1" applyFont="1" applyFill="1" applyBorder="1" applyAlignment="1">
      <alignment horizontal="center" vertical="center"/>
    </xf>
    <xf numFmtId="0" fontId="1" fillId="20" borderId="5" xfId="0" applyFont="1" applyFill="1" applyBorder="1" applyAlignment="1">
      <alignment vertical="center"/>
    </xf>
    <xf numFmtId="0" fontId="1" fillId="20" borderId="1" xfId="0" applyFont="1" applyFill="1" applyBorder="1" applyAlignment="1">
      <alignment horizontal="center" vertical="center" wrapText="1"/>
    </xf>
    <xf numFmtId="0" fontId="1" fillId="20" borderId="1" xfId="0" applyFont="1" applyFill="1" applyBorder="1" applyAlignment="1">
      <alignment vertical="center" wrapText="1"/>
    </xf>
    <xf numFmtId="164" fontId="1" fillId="20" borderId="1" xfId="0" applyNumberFormat="1" applyFont="1" applyFill="1" applyBorder="1" applyAlignment="1">
      <alignment horizontal="right" vertical="center" wrapText="1"/>
    </xf>
    <xf numFmtId="164" fontId="1" fillId="20" borderId="1" xfId="0" applyNumberFormat="1" applyFont="1" applyFill="1" applyBorder="1" applyAlignment="1">
      <alignment horizontal="right" vertical="center"/>
    </xf>
    <xf numFmtId="0" fontId="1" fillId="20" borderId="0" xfId="0" applyFont="1" applyFill="1"/>
    <xf numFmtId="4" fontId="7" fillId="20" borderId="54" xfId="2" applyNumberFormat="1" applyFont="1" applyFill="1" applyBorder="1" applyAlignment="1">
      <alignment horizontal="center" vertical="center" wrapText="1"/>
    </xf>
    <xf numFmtId="4" fontId="102" fillId="20" borderId="1" xfId="2" applyNumberFormat="1" applyFont="1" applyFill="1" applyBorder="1" applyAlignment="1">
      <alignment horizontal="center" vertical="center" wrapText="1"/>
    </xf>
    <xf numFmtId="2" fontId="15" fillId="20" borderId="1" xfId="2" applyNumberFormat="1" applyFont="1" applyFill="1" applyBorder="1" applyAlignment="1">
      <alignment horizontal="center" vertical="center" wrapText="1"/>
    </xf>
    <xf numFmtId="1" fontId="7" fillId="20" borderId="1" xfId="2" applyNumberFormat="1" applyFont="1" applyFill="1" applyBorder="1" applyAlignment="1">
      <alignment horizontal="center" vertical="center"/>
    </xf>
    <xf numFmtId="0" fontId="11" fillId="20" borderId="0" xfId="2" applyFont="1" applyFill="1" applyAlignment="1">
      <alignment horizontal="left"/>
    </xf>
    <xf numFmtId="0" fontId="64" fillId="20" borderId="1" xfId="2" applyFont="1" applyFill="1" applyBorder="1" applyAlignment="1">
      <alignment horizontal="center"/>
    </xf>
    <xf numFmtId="0" fontId="64" fillId="20" borderId="6" xfId="2" applyFont="1" applyFill="1" applyBorder="1" applyAlignment="1">
      <alignment horizontal="center"/>
    </xf>
    <xf numFmtId="0" fontId="18" fillId="20" borderId="5" xfId="2" applyFont="1" applyFill="1" applyBorder="1" applyAlignment="1">
      <alignment horizontal="left" vertical="center" wrapText="1"/>
    </xf>
    <xf numFmtId="49" fontId="7" fillId="20" borderId="1" xfId="2" applyNumberFormat="1" applyFont="1" applyFill="1" applyBorder="1" applyAlignment="1">
      <alignment horizontal="center" vertical="center" wrapText="1"/>
    </xf>
    <xf numFmtId="14" fontId="15" fillId="20" borderId="1" xfId="2" applyNumberFormat="1" applyFont="1" applyFill="1" applyBorder="1" applyAlignment="1">
      <alignment horizontal="center" vertical="center" wrapText="1"/>
    </xf>
    <xf numFmtId="49" fontId="7" fillId="20" borderId="1" xfId="56" applyNumberFormat="1" applyFont="1" applyFill="1" applyBorder="1" applyAlignment="1">
      <alignment horizontal="center" vertical="center" wrapText="1"/>
    </xf>
    <xf numFmtId="0" fontId="15" fillId="20" borderId="6" xfId="2" applyFont="1" applyFill="1" applyBorder="1" applyAlignment="1">
      <alignment horizontal="left" vertical="center" wrapText="1"/>
    </xf>
    <xf numFmtId="0" fontId="7" fillId="20" borderId="6" xfId="2" applyFont="1" applyFill="1" applyBorder="1" applyAlignment="1">
      <alignment horizontal="left" vertical="center" wrapText="1"/>
    </xf>
    <xf numFmtId="0" fontId="15" fillId="20" borderId="6" xfId="56" applyFont="1" applyFill="1" applyBorder="1" applyAlignment="1">
      <alignment vertical="center" wrapText="1"/>
    </xf>
    <xf numFmtId="49" fontId="15" fillId="20" borderId="1" xfId="2" applyNumberFormat="1" applyFont="1" applyFill="1" applyBorder="1" applyAlignment="1">
      <alignment horizontal="center" vertical="center" wrapText="1"/>
    </xf>
    <xf numFmtId="14" fontId="75" fillId="20" borderId="1" xfId="2" applyNumberFormat="1" applyFont="1" applyFill="1" applyBorder="1" applyAlignment="1">
      <alignment horizontal="center" vertical="center" wrapText="1"/>
    </xf>
    <xf numFmtId="4" fontId="15" fillId="20" borderId="1" xfId="2" applyNumberFormat="1" applyFont="1" applyFill="1" applyBorder="1" applyAlignment="1">
      <alignment horizontal="center" vertical="center" wrapText="1"/>
    </xf>
    <xf numFmtId="4" fontId="99" fillId="20" borderId="1" xfId="2" applyNumberFormat="1" applyFont="1" applyFill="1" applyBorder="1" applyAlignment="1">
      <alignment horizontal="center" vertical="center" wrapText="1"/>
    </xf>
    <xf numFmtId="4" fontId="11" fillId="20" borderId="1" xfId="2" applyNumberFormat="1" applyFont="1" applyFill="1" applyBorder="1" applyAlignment="1">
      <alignment horizontal="center" vertical="center" wrapText="1"/>
    </xf>
    <xf numFmtId="0" fontId="7" fillId="2" borderId="11" xfId="2" applyFont="1" applyFill="1" applyBorder="1" applyAlignment="1">
      <alignment horizontal="left" vertical="center" wrapText="1"/>
    </xf>
    <xf numFmtId="49" fontId="7" fillId="2" borderId="13" xfId="2" applyNumberFormat="1" applyFont="1" applyFill="1" applyBorder="1" applyAlignment="1">
      <alignment horizontal="center" vertical="center" wrapText="1"/>
    </xf>
    <xf numFmtId="4" fontId="7" fillId="20" borderId="55" xfId="2" applyNumberFormat="1" applyFont="1" applyFill="1" applyBorder="1" applyAlignment="1">
      <alignment horizontal="center" vertical="center" wrapText="1"/>
    </xf>
    <xf numFmtId="4" fontId="7" fillId="0" borderId="13" xfId="2" applyNumberFormat="1" applyFont="1" applyFill="1" applyBorder="1" applyAlignment="1">
      <alignment horizontal="center" vertical="center" wrapText="1"/>
    </xf>
    <xf numFmtId="49" fontId="7" fillId="2" borderId="73" xfId="2" applyNumberFormat="1" applyFont="1" applyFill="1" applyBorder="1" applyAlignment="1">
      <alignment horizontal="center" vertical="center" wrapText="1"/>
    </xf>
    <xf numFmtId="0" fontId="15" fillId="2" borderId="21" xfId="2" applyFont="1" applyFill="1" applyBorder="1" applyAlignment="1">
      <alignment vertical="center" wrapText="1"/>
    </xf>
    <xf numFmtId="0" fontId="7" fillId="20" borderId="2" xfId="2" applyFont="1" applyFill="1" applyBorder="1" applyAlignment="1">
      <alignment horizontal="left" vertical="center" wrapText="1"/>
    </xf>
    <xf numFmtId="49" fontId="7" fillId="20" borderId="3" xfId="2" applyNumberFormat="1" applyFont="1" applyFill="1" applyBorder="1" applyAlignment="1">
      <alignment horizontal="center" vertical="center" wrapText="1"/>
    </xf>
    <xf numFmtId="4" fontId="7" fillId="20" borderId="3" xfId="2" applyNumberFormat="1" applyFont="1" applyFill="1" applyBorder="1" applyAlignment="1">
      <alignment horizontal="center" vertical="center" wrapText="1"/>
    </xf>
    <xf numFmtId="0" fontId="7" fillId="20" borderId="4" xfId="2" applyFont="1" applyFill="1" applyBorder="1" applyAlignment="1">
      <alignment vertical="center" wrapText="1"/>
    </xf>
    <xf numFmtId="0" fontId="7" fillId="20" borderId="5" xfId="2" quotePrefix="1" applyFont="1" applyFill="1" applyBorder="1" applyAlignment="1">
      <alignment horizontal="left" vertical="center" wrapText="1"/>
    </xf>
    <xf numFmtId="0" fontId="18" fillId="20" borderId="7" xfId="2" applyFont="1" applyFill="1" applyBorder="1" applyAlignment="1">
      <alignment horizontal="left" vertical="center" wrapText="1"/>
    </xf>
    <xf numFmtId="49" fontId="7" fillId="20" borderId="8" xfId="2" applyNumberFormat="1" applyFont="1" applyFill="1" applyBorder="1" applyAlignment="1">
      <alignment horizontal="center" vertical="center" wrapText="1"/>
    </xf>
    <xf numFmtId="4" fontId="7" fillId="20" borderId="8" xfId="2" applyNumberFormat="1" applyFont="1" applyFill="1" applyBorder="1" applyAlignment="1">
      <alignment horizontal="center" vertical="center" wrapText="1"/>
    </xf>
    <xf numFmtId="0" fontId="7" fillId="20" borderId="71" xfId="2" applyFont="1" applyFill="1" applyBorder="1" applyAlignment="1">
      <alignment vertical="center" wrapText="1"/>
    </xf>
    <xf numFmtId="0" fontId="64" fillId="0" borderId="1" xfId="2" applyFont="1" applyFill="1" applyBorder="1" applyAlignment="1">
      <alignment horizontal="left" vertical="center"/>
    </xf>
    <xf numFmtId="49" fontId="15" fillId="2" borderId="5" xfId="0"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2" fontId="75" fillId="2" borderId="1" xfId="49" applyNumberFormat="1" applyFont="1" applyFill="1" applyBorder="1" applyAlignment="1">
      <alignment horizontal="center" vertical="center"/>
    </xf>
    <xf numFmtId="2" fontId="64" fillId="2" borderId="20" xfId="49" applyNumberFormat="1" applyFont="1" applyFill="1" applyBorder="1" applyAlignment="1">
      <alignment horizontal="center" vertical="center"/>
    </xf>
    <xf numFmtId="2" fontId="11" fillId="2" borderId="21" xfId="49" applyNumberFormat="1" applyFont="1" applyFill="1" applyBorder="1" applyAlignment="1">
      <alignment horizontal="center" vertical="center"/>
    </xf>
    <xf numFmtId="49" fontId="64" fillId="20" borderId="5" xfId="56" applyNumberFormat="1" applyFont="1" applyFill="1" applyBorder="1" applyAlignment="1">
      <alignment horizontal="center" vertical="center" wrapText="1"/>
    </xf>
    <xf numFmtId="49" fontId="15" fillId="20" borderId="1" xfId="56" applyNumberFormat="1" applyFont="1" applyFill="1" applyBorder="1" applyAlignment="1">
      <alignment horizontal="center" vertical="center" wrapText="1"/>
    </xf>
    <xf numFmtId="49" fontId="15" fillId="20" borderId="56" xfId="56" applyNumberFormat="1" applyFont="1" applyFill="1" applyBorder="1" applyAlignment="1">
      <alignment horizontal="center" vertical="center" wrapText="1"/>
    </xf>
    <xf numFmtId="0" fontId="15" fillId="20" borderId="22" xfId="56" applyFont="1" applyFill="1" applyBorder="1" applyAlignment="1">
      <alignment horizontal="left" vertical="center" wrapText="1"/>
    </xf>
    <xf numFmtId="1" fontId="11" fillId="20" borderId="1" xfId="49" applyNumberFormat="1" applyFont="1" applyFill="1" applyBorder="1" applyAlignment="1">
      <alignment horizontal="center" vertical="center"/>
    </xf>
    <xf numFmtId="1" fontId="7" fillId="20" borderId="1" xfId="49" applyNumberFormat="1" applyFont="1" applyFill="1" applyBorder="1" applyAlignment="1">
      <alignment horizontal="center" vertical="center"/>
    </xf>
    <xf numFmtId="164" fontId="1" fillId="0" borderId="1" xfId="0" applyNumberFormat="1" applyFont="1" applyBorder="1" applyAlignment="1">
      <alignment vertical="center" wrapText="1"/>
    </xf>
    <xf numFmtId="4" fontId="7" fillId="21" borderId="1" xfId="2" applyNumberFormat="1" applyFont="1" applyFill="1" applyBorder="1" applyAlignment="1">
      <alignment horizontal="center" vertical="center" wrapText="1"/>
    </xf>
    <xf numFmtId="4" fontId="7" fillId="20" borderId="12" xfId="2" applyNumberFormat="1" applyFont="1" applyFill="1" applyBorder="1" applyAlignment="1">
      <alignment horizontal="center" vertical="center" wrapText="1"/>
    </xf>
    <xf numFmtId="0" fontId="15" fillId="20" borderId="6" xfId="2" quotePrefix="1" applyFont="1" applyFill="1" applyBorder="1" applyAlignment="1">
      <alignment vertical="center" wrapText="1"/>
    </xf>
    <xf numFmtId="49" fontId="15" fillId="20" borderId="22" xfId="2" applyNumberFormat="1" applyFont="1" applyFill="1" applyBorder="1" applyAlignment="1">
      <alignment horizontal="center" vertical="center" wrapText="1"/>
    </xf>
    <xf numFmtId="49" fontId="15" fillId="20" borderId="56" xfId="2" applyNumberFormat="1" applyFont="1" applyFill="1" applyBorder="1" applyAlignment="1">
      <alignment horizontal="center" vertical="center" wrapText="1"/>
    </xf>
    <xf numFmtId="49" fontId="15" fillId="20" borderId="5" xfId="2" applyNumberFormat="1" applyFont="1" applyFill="1" applyBorder="1" applyAlignment="1">
      <alignment horizontal="center" vertical="center" wrapText="1"/>
    </xf>
    <xf numFmtId="1" fontId="77" fillId="2" borderId="1" xfId="1" applyNumberFormat="1" applyFont="1" applyFill="1" applyBorder="1" applyAlignment="1">
      <alignment horizontal="center" vertical="center"/>
    </xf>
    <xf numFmtId="0" fontId="11" fillId="0" borderId="1" xfId="2" applyFont="1" applyFill="1" applyBorder="1" applyAlignment="1">
      <alignment wrapText="1"/>
    </xf>
    <xf numFmtId="170" fontId="1" fillId="0" borderId="1" xfId="0" applyNumberFormat="1" applyFont="1" applyFill="1" applyBorder="1" applyAlignment="1">
      <alignment horizontal="right" vertical="center"/>
    </xf>
    <xf numFmtId="170" fontId="1" fillId="0" borderId="1" xfId="0" applyNumberFormat="1" applyFont="1" applyFill="1" applyBorder="1" applyAlignment="1">
      <alignment horizontal="right" vertical="center" wrapText="1"/>
    </xf>
    <xf numFmtId="0" fontId="15" fillId="20" borderId="6" xfId="2" applyFont="1" applyFill="1" applyBorder="1" applyAlignment="1">
      <alignment horizontal="center"/>
    </xf>
    <xf numFmtId="0" fontId="15" fillId="20" borderId="5" xfId="2" applyFont="1" applyFill="1" applyBorder="1" applyAlignment="1">
      <alignment horizontal="center" vertical="center"/>
    </xf>
    <xf numFmtId="0" fontId="15" fillId="21" borderId="0" xfId="2" applyFont="1" applyFill="1"/>
    <xf numFmtId="0" fontId="15" fillId="0" borderId="1" xfId="2" applyFont="1" applyFill="1" applyBorder="1"/>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64" fontId="2" fillId="0" borderId="71" xfId="0" applyNumberFormat="1" applyFont="1" applyFill="1" applyBorder="1" applyAlignment="1">
      <alignment horizontal="right"/>
    </xf>
    <xf numFmtId="49" fontId="7" fillId="20" borderId="60" xfId="2" applyNumberFormat="1" applyFont="1" applyFill="1" applyBorder="1" applyAlignment="1">
      <alignment horizontal="center" vertical="center" wrapText="1"/>
    </xf>
    <xf numFmtId="4" fontId="7" fillId="0" borderId="3" xfId="2" applyNumberFormat="1" applyFont="1" applyFill="1" applyBorder="1" applyAlignment="1">
      <alignment horizontal="center" vertical="center" wrapText="1"/>
    </xf>
    <xf numFmtId="0" fontId="15" fillId="20" borderId="5" xfId="2" applyFont="1" applyFill="1" applyBorder="1" applyAlignment="1">
      <alignment horizontal="center" vertical="center"/>
    </xf>
    <xf numFmtId="0" fontId="1" fillId="0" borderId="1" xfId="0" applyFont="1" applyBorder="1" applyAlignment="1">
      <alignment horizontal="center" vertical="center" wrapText="1"/>
    </xf>
    <xf numFmtId="0" fontId="7" fillId="21" borderId="5" xfId="2" applyFont="1" applyFill="1" applyBorder="1" applyAlignment="1">
      <alignment horizontal="left" vertical="center" wrapText="1"/>
    </xf>
    <xf numFmtId="49" fontId="7" fillId="21" borderId="1" xfId="2" applyNumberFormat="1" applyFont="1" applyFill="1" applyBorder="1" applyAlignment="1">
      <alignment horizontal="center" vertical="center" wrapText="1"/>
    </xf>
    <xf numFmtId="0" fontId="15" fillId="21" borderId="6" xfId="2" applyFont="1" applyFill="1" applyBorder="1" applyAlignment="1">
      <alignment vertical="center" wrapText="1"/>
    </xf>
    <xf numFmtId="4" fontId="7" fillId="21" borderId="56" xfId="2" applyNumberFormat="1" applyFont="1" applyFill="1" applyBorder="1" applyAlignment="1">
      <alignment horizontal="center" vertical="center" wrapText="1"/>
    </xf>
    <xf numFmtId="14" fontId="15" fillId="0" borderId="1" xfId="2" applyNumberFormat="1" applyFont="1" applyFill="1" applyBorder="1" applyAlignment="1">
      <alignment horizontal="center" vertical="center" wrapText="1"/>
    </xf>
    <xf numFmtId="1" fontId="11" fillId="0" borderId="56" xfId="2" applyNumberFormat="1" applyFont="1" applyFill="1" applyBorder="1" applyAlignment="1">
      <alignment horizontal="center" vertical="center"/>
    </xf>
    <xf numFmtId="164" fontId="2" fillId="0" borderId="1" xfId="0" applyNumberFormat="1" applyFont="1" applyFill="1" applyBorder="1" applyAlignment="1">
      <alignment horizontal="right" vertical="center"/>
    </xf>
    <xf numFmtId="1" fontId="7" fillId="20" borderId="1" xfId="1" applyNumberFormat="1" applyFont="1" applyFill="1" applyBorder="1" applyAlignment="1">
      <alignment horizontal="center" vertical="center"/>
    </xf>
    <xf numFmtId="0" fontId="15" fillId="20" borderId="6" xfId="2" applyFont="1" applyFill="1" applyBorder="1" applyAlignment="1">
      <alignment horizontal="center"/>
    </xf>
    <xf numFmtId="0" fontId="15" fillId="20" borderId="5" xfId="2" applyFont="1" applyFill="1" applyBorder="1" applyAlignment="1">
      <alignment horizontal="center" vertical="center"/>
    </xf>
    <xf numFmtId="0" fontId="1" fillId="0" borderId="1" xfId="0" applyFont="1" applyBorder="1" applyAlignment="1">
      <alignment horizontal="center" vertical="center" wrapText="1"/>
    </xf>
    <xf numFmtId="0" fontId="7" fillId="21" borderId="6" xfId="2" applyFont="1" applyFill="1" applyBorder="1" applyAlignment="1">
      <alignment vertical="center" wrapText="1"/>
    </xf>
    <xf numFmtId="0" fontId="7" fillId="0" borderId="5" xfId="2" applyFont="1" applyFill="1" applyBorder="1" applyAlignment="1">
      <alignment horizontal="left" vertical="center" wrapText="1"/>
    </xf>
    <xf numFmtId="49" fontId="7" fillId="0" borderId="1" xfId="2" applyNumberFormat="1" applyFont="1" applyFill="1" applyBorder="1" applyAlignment="1">
      <alignment horizontal="center" vertical="center" wrapText="1"/>
    </xf>
    <xf numFmtId="0" fontId="103" fillId="0" borderId="6" xfId="56" applyFont="1" applyFill="1" applyBorder="1" applyAlignment="1">
      <alignment vertical="center" wrapText="1"/>
    </xf>
    <xf numFmtId="0" fontId="105" fillId="0" borderId="0" xfId="0" applyFont="1" applyAlignment="1">
      <alignment horizontal="center"/>
    </xf>
    <xf numFmtId="4" fontId="105" fillId="0" borderId="0" xfId="0" applyNumberFormat="1" applyFont="1" applyAlignment="1">
      <alignment horizontal="center" wrapText="1"/>
    </xf>
    <xf numFmtId="4" fontId="105" fillId="0" borderId="0" xfId="0" applyNumberFormat="1" applyFont="1" applyAlignment="1">
      <alignment horizontal="center"/>
    </xf>
    <xf numFmtId="4" fontId="0" fillId="0" borderId="0" xfId="0" applyNumberFormat="1" applyAlignment="1">
      <alignment wrapText="1"/>
    </xf>
    <xf numFmtId="4" fontId="105" fillId="0" borderId="0" xfId="0" applyNumberFormat="1" applyFont="1"/>
    <xf numFmtId="4" fontId="0" fillId="0" borderId="0" xfId="0" applyNumberFormat="1"/>
    <xf numFmtId="0" fontId="108" fillId="0" borderId="1" xfId="0" applyFont="1" applyBorder="1"/>
    <xf numFmtId="0" fontId="109" fillId="0" borderId="1" xfId="0" applyFont="1" applyBorder="1" applyAlignment="1">
      <alignment horizontal="center" vertical="center"/>
    </xf>
    <xf numFmtId="4" fontId="109" fillId="0" borderId="1" xfId="0" applyNumberFormat="1" applyFont="1" applyBorder="1" applyAlignment="1">
      <alignment horizontal="center" vertical="center" wrapText="1"/>
    </xf>
    <xf numFmtId="4" fontId="109" fillId="0" borderId="1" xfId="0" applyNumberFormat="1" applyFont="1" applyBorder="1" applyAlignment="1">
      <alignment horizontal="center" vertical="center"/>
    </xf>
    <xf numFmtId="0" fontId="108" fillId="0" borderId="0" xfId="0" applyFont="1"/>
    <xf numFmtId="0" fontId="0" fillId="0" borderId="1" xfId="0" applyBorder="1" applyAlignment="1">
      <alignment vertical="center"/>
    </xf>
    <xf numFmtId="4" fontId="0" fillId="0" borderId="1" xfId="0" applyNumberFormat="1" applyBorder="1" applyAlignment="1">
      <alignment vertical="center" wrapText="1"/>
    </xf>
    <xf numFmtId="4" fontId="0" fillId="0" borderId="1" xfId="0" applyNumberFormat="1" applyBorder="1" applyAlignment="1">
      <alignment vertical="center"/>
    </xf>
    <xf numFmtId="4" fontId="105" fillId="22" borderId="1" xfId="0" applyNumberFormat="1" applyFont="1" applyFill="1" applyBorder="1" applyAlignment="1">
      <alignment vertical="center"/>
    </xf>
    <xf numFmtId="4" fontId="0" fillId="0" borderId="0" xfId="0" applyNumberFormat="1" applyAlignment="1">
      <alignment vertical="center"/>
    </xf>
    <xf numFmtId="4" fontId="105" fillId="0" borderId="0" xfId="0" applyNumberFormat="1" applyFont="1" applyAlignment="1">
      <alignment horizontal="left" vertical="center"/>
    </xf>
    <xf numFmtId="0" fontId="110" fillId="0" borderId="0" xfId="2" applyFont="1" applyAlignment="1">
      <alignment horizontal="center" vertical="center" wrapText="1"/>
    </xf>
    <xf numFmtId="0" fontId="15" fillId="0" borderId="6" xfId="56" applyFont="1" applyFill="1" applyBorder="1" applyAlignment="1">
      <alignment vertical="center" wrapText="1"/>
    </xf>
    <xf numFmtId="4" fontId="103" fillId="0" borderId="1" xfId="2" applyNumberFormat="1" applyFont="1" applyFill="1" applyBorder="1" applyAlignment="1">
      <alignment horizontal="center" vertical="center" wrapText="1"/>
    </xf>
    <xf numFmtId="4" fontId="7" fillId="0" borderId="55" xfId="2" applyNumberFormat="1" applyFont="1" applyFill="1" applyBorder="1" applyAlignment="1">
      <alignment horizontal="center" vertical="center" wrapText="1"/>
    </xf>
    <xf numFmtId="2" fontId="19" fillId="0" borderId="59" xfId="56" applyNumberFormat="1" applyFont="1" applyFill="1" applyBorder="1" applyAlignment="1" applyProtection="1"/>
    <xf numFmtId="0" fontId="15" fillId="0" borderId="0" xfId="1" applyFont="1" applyFill="1" applyAlignment="1">
      <alignment horizontal="left"/>
    </xf>
    <xf numFmtId="1" fontId="24" fillId="0" borderId="0" xfId="2" applyNumberFormat="1" applyFont="1" applyBorder="1" applyAlignment="1">
      <alignment horizontal="center" vertical="center" wrapText="1"/>
    </xf>
    <xf numFmtId="0" fontId="24" fillId="0" borderId="0" xfId="2" applyFont="1" applyBorder="1" applyAlignment="1">
      <alignment horizontal="center" vertical="center" wrapText="1"/>
    </xf>
    <xf numFmtId="0" fontId="11" fillId="0" borderId="0" xfId="1" applyFont="1" applyAlignment="1">
      <alignment horizontal="center" vertical="center"/>
    </xf>
    <xf numFmtId="0" fontId="12" fillId="0" borderId="0" xfId="1" applyFont="1" applyFill="1" applyBorder="1" applyAlignment="1">
      <alignment horizontal="center" vertical="center" wrapText="1"/>
    </xf>
    <xf numFmtId="0" fontId="11" fillId="0" borderId="9" xfId="1" applyFont="1" applyFill="1" applyBorder="1" applyAlignment="1">
      <alignment horizontal="center" vertical="center"/>
    </xf>
    <xf numFmtId="0" fontId="11" fillId="0" borderId="11" xfId="1" applyFont="1" applyFill="1" applyBorder="1" applyAlignment="1">
      <alignment horizontal="center" vertical="center"/>
    </xf>
    <xf numFmtId="0" fontId="11" fillId="0" borderId="10" xfId="1" applyFont="1" applyFill="1" applyBorder="1" applyAlignment="1">
      <alignment horizontal="center" vertical="center" wrapText="1"/>
    </xf>
    <xf numFmtId="0" fontId="8" fillId="0" borderId="0" xfId="1" applyFont="1" applyBorder="1"/>
    <xf numFmtId="0" fontId="11" fillId="0" borderId="3" xfId="1" applyFont="1" applyFill="1" applyBorder="1" applyAlignment="1">
      <alignment horizontal="center" vertical="center"/>
    </xf>
    <xf numFmtId="0" fontId="11" fillId="0" borderId="12" xfId="1" applyFont="1" applyFill="1" applyBorder="1" applyAlignment="1">
      <alignment horizontal="center" vertical="center"/>
    </xf>
    <xf numFmtId="0" fontId="11" fillId="0" borderId="13" xfId="1" applyFont="1" applyFill="1" applyBorder="1" applyAlignment="1">
      <alignment horizontal="center" vertical="center" wrapText="1"/>
    </xf>
    <xf numFmtId="0" fontId="11" fillId="0" borderId="4" xfId="1" applyFont="1" applyFill="1" applyBorder="1" applyAlignment="1">
      <alignment horizontal="center" vertical="center"/>
    </xf>
    <xf numFmtId="0" fontId="45" fillId="0" borderId="40" xfId="2" applyFont="1" applyBorder="1" applyAlignment="1">
      <alignment horizontal="center" vertical="distributed" wrapText="1"/>
    </xf>
    <xf numFmtId="0" fontId="45" fillId="0" borderId="41" xfId="2" applyFont="1" applyBorder="1" applyAlignment="1">
      <alignment horizontal="center" vertical="distributed" wrapText="1"/>
    </xf>
    <xf numFmtId="0" fontId="45" fillId="0" borderId="42" xfId="2" applyFont="1" applyBorder="1" applyAlignment="1">
      <alignment horizontal="center" vertical="distributed" wrapText="1"/>
    </xf>
    <xf numFmtId="0" fontId="58" fillId="0" borderId="0" xfId="2" applyFont="1" applyBorder="1" applyAlignment="1">
      <alignment horizontal="center" vertical="center" wrapText="1"/>
    </xf>
    <xf numFmtId="0" fontId="7" fillId="0" borderId="0" xfId="1" applyFont="1" applyAlignment="1">
      <alignment horizontal="left"/>
    </xf>
    <xf numFmtId="0" fontId="45" fillId="0" borderId="0" xfId="2" applyFont="1" applyAlignment="1">
      <alignment horizontal="left" vertical="top"/>
    </xf>
    <xf numFmtId="0" fontId="45" fillId="0" borderId="0" xfId="2" applyFont="1" applyAlignment="1">
      <alignment horizontal="center" vertical="center"/>
    </xf>
    <xf numFmtId="0" fontId="45" fillId="0" borderId="0" xfId="2" applyFont="1" applyAlignment="1">
      <alignment horizontal="center"/>
    </xf>
    <xf numFmtId="0" fontId="45" fillId="0" borderId="30" xfId="2" applyFont="1" applyBorder="1" applyAlignment="1">
      <alignment horizontal="center" vertical="center" wrapText="1"/>
    </xf>
    <xf numFmtId="0" fontId="45" fillId="0" borderId="34" xfId="2" applyFont="1" applyBorder="1" applyAlignment="1">
      <alignment horizontal="center" vertical="center" wrapText="1"/>
    </xf>
    <xf numFmtId="0" fontId="45" fillId="0" borderId="31" xfId="2" applyFont="1" applyBorder="1" applyAlignment="1">
      <alignment horizontal="center" vertical="center" wrapText="1"/>
    </xf>
    <xf numFmtId="0" fontId="45" fillId="0" borderId="35" xfId="2" applyFont="1" applyBorder="1" applyAlignment="1">
      <alignment horizontal="center" vertical="center" wrapText="1"/>
    </xf>
    <xf numFmtId="0" fontId="45" fillId="0" borderId="32" xfId="2" applyFont="1" applyBorder="1" applyAlignment="1">
      <alignment horizontal="center" vertical="center" wrapText="1"/>
    </xf>
    <xf numFmtId="0" fontId="45" fillId="0" borderId="36" xfId="2" applyFont="1" applyBorder="1" applyAlignment="1">
      <alignment horizontal="center" vertical="center" wrapText="1"/>
    </xf>
    <xf numFmtId="0" fontId="45" fillId="0" borderId="33" xfId="2" applyFont="1" applyBorder="1" applyAlignment="1">
      <alignment horizontal="center" vertical="center" wrapText="1"/>
    </xf>
    <xf numFmtId="0" fontId="45" fillId="0" borderId="37" xfId="2" applyFont="1" applyBorder="1" applyAlignment="1">
      <alignment horizontal="center" vertical="center" wrapText="1"/>
    </xf>
    <xf numFmtId="0" fontId="45" fillId="0" borderId="16" xfId="2" applyFont="1" applyBorder="1" applyAlignment="1">
      <alignment horizontal="center" vertical="center" wrapText="1"/>
    </xf>
    <xf numFmtId="0" fontId="45" fillId="0" borderId="18" xfId="2" applyFont="1" applyBorder="1" applyAlignment="1">
      <alignment horizontal="center" vertical="center" wrapText="1"/>
    </xf>
    <xf numFmtId="0" fontId="15" fillId="0" borderId="0" xfId="1" applyFont="1" applyAlignment="1">
      <alignment horizontal="left"/>
    </xf>
    <xf numFmtId="0" fontId="63" fillId="0" borderId="0" xfId="56" applyNumberFormat="1" applyFont="1" applyFill="1" applyBorder="1" applyAlignment="1" applyProtection="1">
      <alignment horizontal="center" vertical="top" wrapText="1"/>
    </xf>
    <xf numFmtId="0" fontId="66" fillId="2" borderId="9" xfId="56" applyNumberFormat="1" applyFont="1" applyFill="1" applyBorder="1" applyAlignment="1" applyProtection="1">
      <alignment horizontal="center" vertical="center" wrapText="1"/>
    </xf>
    <xf numFmtId="0" fontId="66" fillId="2" borderId="11" xfId="56" applyNumberFormat="1" applyFont="1" applyFill="1" applyBorder="1" applyAlignment="1" applyProtection="1">
      <alignment horizontal="center" vertical="center" wrapText="1"/>
    </xf>
    <xf numFmtId="0" fontId="66" fillId="2" borderId="10" xfId="56" applyNumberFormat="1" applyFont="1" applyFill="1" applyBorder="1" applyAlignment="1" applyProtection="1">
      <alignment horizontal="center" vertical="center" wrapText="1"/>
    </xf>
    <xf numFmtId="0" fontId="69" fillId="0" borderId="13" xfId="2" applyFont="1" applyBorder="1" applyAlignment="1">
      <alignment horizontal="center" vertical="center" wrapText="1"/>
    </xf>
    <xf numFmtId="0" fontId="66" fillId="2" borderId="72" xfId="56" applyNumberFormat="1" applyFont="1" applyFill="1" applyBorder="1" applyAlignment="1" applyProtection="1">
      <alignment horizontal="center" vertical="center" wrapText="1"/>
    </xf>
    <xf numFmtId="0" fontId="69" fillId="0" borderId="55" xfId="2" applyFont="1" applyBorder="1" applyAlignment="1">
      <alignment horizontal="center" vertical="center" wrapText="1"/>
    </xf>
    <xf numFmtId="0" fontId="68" fillId="2" borderId="9" xfId="56" applyNumberFormat="1" applyFont="1" applyFill="1" applyBorder="1" applyAlignment="1" applyProtection="1">
      <alignment horizontal="center" vertical="center" wrapText="1"/>
    </xf>
    <xf numFmtId="0" fontId="68" fillId="2" borderId="11" xfId="56" applyNumberFormat="1" applyFont="1" applyFill="1" applyBorder="1" applyAlignment="1" applyProtection="1">
      <alignment horizontal="center" vertical="center" wrapText="1"/>
    </xf>
    <xf numFmtId="0" fontId="68" fillId="2" borderId="3" xfId="56" applyNumberFormat="1" applyFont="1" applyFill="1" applyBorder="1" applyAlignment="1" applyProtection="1">
      <alignment horizontal="center" vertical="center" wrapText="1"/>
    </xf>
    <xf numFmtId="0" fontId="68" fillId="2" borderId="15" xfId="56" applyNumberFormat="1" applyFont="1" applyFill="1" applyBorder="1" applyAlignment="1" applyProtection="1">
      <alignment horizontal="center" vertical="center" wrapText="1"/>
    </xf>
    <xf numFmtId="0" fontId="68" fillId="2" borderId="58" xfId="56" applyNumberFormat="1" applyFont="1" applyFill="1" applyBorder="1" applyAlignment="1" applyProtection="1">
      <alignment horizontal="center" vertical="center" wrapText="1"/>
    </xf>
    <xf numFmtId="0" fontId="70" fillId="2" borderId="56" xfId="56" applyNumberFormat="1" applyFont="1" applyFill="1" applyBorder="1" applyAlignment="1" applyProtection="1">
      <alignment horizontal="center" vertical="center" wrapText="1"/>
    </xf>
    <xf numFmtId="0" fontId="71" fillId="0" borderId="57" xfId="2" applyFont="1" applyBorder="1" applyAlignment="1">
      <alignment horizontal="center" vertical="center" wrapText="1"/>
    </xf>
    <xf numFmtId="0" fontId="70" fillId="2" borderId="1" xfId="56" applyNumberFormat="1" applyFont="1" applyFill="1" applyBorder="1" applyAlignment="1" applyProtection="1">
      <alignment horizontal="center" vertical="center" wrapText="1"/>
    </xf>
    <xf numFmtId="0" fontId="70" fillId="2" borderId="12" xfId="56" applyNumberFormat="1" applyFont="1" applyFill="1" applyBorder="1" applyAlignment="1" applyProtection="1">
      <alignment horizontal="center" vertical="center" wrapText="1"/>
    </xf>
    <xf numFmtId="0" fontId="68" fillId="2" borderId="1" xfId="56" applyNumberFormat="1" applyFont="1" applyFill="1" applyBorder="1" applyAlignment="1" applyProtection="1">
      <alignment horizontal="center" vertical="center" wrapText="1"/>
    </xf>
    <xf numFmtId="0" fontId="68" fillId="2" borderId="12" xfId="56" applyNumberFormat="1" applyFont="1" applyFill="1" applyBorder="1" applyAlignment="1" applyProtection="1">
      <alignment horizontal="center" vertical="center" wrapText="1"/>
    </xf>
    <xf numFmtId="0" fontId="71" fillId="0" borderId="13" xfId="2" applyFont="1" applyBorder="1" applyAlignment="1">
      <alignment horizontal="center" vertical="center" wrapText="1"/>
    </xf>
    <xf numFmtId="0" fontId="7" fillId="0" borderId="32" xfId="2" applyFont="1" applyBorder="1" applyAlignment="1">
      <alignment horizontal="center" vertical="center" textRotation="90" wrapText="1"/>
    </xf>
    <xf numFmtId="0" fontId="7" fillId="0" borderId="36" xfId="2" applyFont="1" applyBorder="1" applyAlignment="1">
      <alignment horizontal="center" vertical="center" textRotation="90" wrapText="1"/>
    </xf>
    <xf numFmtId="0" fontId="79" fillId="0" borderId="0" xfId="2" applyFont="1" applyAlignment="1">
      <alignment horizontal="center" vertical="center"/>
    </xf>
    <xf numFmtId="0" fontId="7" fillId="0" borderId="32" xfId="2" applyFont="1" applyBorder="1" applyAlignment="1">
      <alignment horizontal="center" vertical="center" wrapText="1" readingOrder="1"/>
    </xf>
    <xf numFmtId="0" fontId="7" fillId="0" borderId="52" xfId="2" applyFont="1" applyBorder="1" applyAlignment="1">
      <alignment horizontal="center" vertical="center" wrapText="1" readingOrder="1"/>
    </xf>
    <xf numFmtId="0" fontId="7" fillId="0" borderId="36" xfId="2" applyFont="1" applyBorder="1" applyAlignment="1">
      <alignment horizontal="center" vertical="center" wrapText="1" readingOrder="1"/>
    </xf>
    <xf numFmtId="0" fontId="7" fillId="0" borderId="32"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36" xfId="2" applyFont="1" applyBorder="1" applyAlignment="1">
      <alignment horizontal="center" vertical="center" wrapText="1"/>
    </xf>
    <xf numFmtId="0" fontId="7" fillId="0" borderId="40" xfId="2" applyFont="1" applyBorder="1" applyAlignment="1">
      <alignment horizontal="center" vertical="center" wrapText="1"/>
    </xf>
    <xf numFmtId="0" fontId="7" fillId="0" borderId="41" xfId="2" applyFont="1" applyBorder="1" applyAlignment="1">
      <alignment horizontal="center" vertical="center" wrapText="1"/>
    </xf>
    <xf numFmtId="0" fontId="7" fillId="0" borderId="42" xfId="2" applyFont="1" applyBorder="1" applyAlignment="1">
      <alignment horizontal="center" vertical="center" wrapText="1"/>
    </xf>
    <xf numFmtId="0" fontId="15" fillId="20" borderId="5" xfId="2" applyFont="1" applyFill="1" applyBorder="1" applyAlignment="1">
      <alignment horizontal="center"/>
    </xf>
    <xf numFmtId="0" fontId="15" fillId="20" borderId="1" xfId="2" applyFont="1" applyFill="1" applyBorder="1" applyAlignment="1">
      <alignment horizontal="center"/>
    </xf>
    <xf numFmtId="0" fontId="15" fillId="20" borderId="6" xfId="2" applyFont="1" applyFill="1" applyBorder="1" applyAlignment="1">
      <alignment horizontal="center"/>
    </xf>
    <xf numFmtId="0" fontId="15" fillId="20" borderId="5" xfId="2" applyFont="1" applyFill="1" applyBorder="1" applyAlignment="1">
      <alignment horizontal="center" vertical="center"/>
    </xf>
    <xf numFmtId="0" fontId="11" fillId="0" borderId="0" xfId="2" applyFont="1" applyFill="1" applyAlignment="1">
      <alignment horizontal="center"/>
    </xf>
    <xf numFmtId="0" fontId="15" fillId="0" borderId="0" xfId="2" applyFont="1" applyFill="1" applyAlignment="1">
      <alignment horizontal="center"/>
    </xf>
    <xf numFmtId="0" fontId="13" fillId="0" borderId="0" xfId="2" quotePrefix="1" applyFont="1" applyFill="1" applyAlignment="1">
      <alignment horizontal="center"/>
    </xf>
    <xf numFmtId="0" fontId="15" fillId="0" borderId="5" xfId="2" applyFont="1" applyFill="1" applyBorder="1" applyAlignment="1">
      <alignment horizontal="center"/>
    </xf>
    <xf numFmtId="0" fontId="15" fillId="0" borderId="1" xfId="2" applyFont="1" applyFill="1" applyBorder="1" applyAlignment="1">
      <alignment horizontal="center"/>
    </xf>
    <xf numFmtId="0" fontId="15" fillId="0" borderId="6" xfId="2" applyFont="1" applyFill="1" applyBorder="1" applyAlignment="1">
      <alignment horizontal="center"/>
    </xf>
    <xf numFmtId="0" fontId="48" fillId="0" borderId="0" xfId="2" applyFont="1" applyFill="1" applyAlignment="1">
      <alignment horizontal="justify" vertical="center"/>
    </xf>
    <xf numFmtId="0" fontId="14" fillId="0" borderId="0" xfId="2" applyAlignment="1">
      <alignment vertical="center"/>
    </xf>
    <xf numFmtId="166" fontId="56" fillId="0" borderId="31" xfId="2" applyNumberFormat="1" applyFont="1" applyFill="1" applyBorder="1" applyAlignment="1">
      <alignment horizontal="center" vertical="center" wrapText="1"/>
    </xf>
    <xf numFmtId="166" fontId="56" fillId="0" borderId="64" xfId="2" applyNumberFormat="1" applyFont="1" applyFill="1" applyBorder="1" applyAlignment="1">
      <alignment horizontal="center" vertical="center" wrapText="1"/>
    </xf>
    <xf numFmtId="166" fontId="56" fillId="0" borderId="32" xfId="2" applyNumberFormat="1" applyFont="1" applyFill="1" applyBorder="1" applyAlignment="1">
      <alignment horizontal="center" vertical="center" wrapText="1"/>
    </xf>
    <xf numFmtId="166" fontId="56" fillId="0" borderId="36" xfId="2" applyNumberFormat="1" applyFont="1" applyFill="1" applyBorder="1" applyAlignment="1">
      <alignment horizontal="center" vertical="center" wrapText="1"/>
    </xf>
    <xf numFmtId="166" fontId="56" fillId="0" borderId="62" xfId="2" applyNumberFormat="1" applyFont="1" applyFill="1" applyBorder="1" applyAlignment="1">
      <alignment horizontal="center" vertical="center" wrapText="1"/>
    </xf>
    <xf numFmtId="166" fontId="56" fillId="0" borderId="66" xfId="2" applyNumberFormat="1" applyFont="1" applyFill="1" applyBorder="1" applyAlignment="1">
      <alignment horizontal="center" vertical="center" wrapText="1"/>
    </xf>
    <xf numFmtId="0" fontId="81" fillId="0" borderId="0" xfId="1" applyFont="1" applyAlignment="1">
      <alignment horizontal="left"/>
    </xf>
    <xf numFmtId="0" fontId="84" fillId="0" borderId="0" xfId="2" applyFont="1" applyFill="1" applyAlignment="1">
      <alignment horizontal="center" vertical="center" wrapText="1"/>
    </xf>
    <xf numFmtId="0" fontId="64" fillId="0" borderId="0" xfId="56" applyNumberFormat="1" applyFont="1" applyFill="1" applyBorder="1" applyAlignment="1" applyProtection="1">
      <alignment horizontal="center" vertical="top" wrapText="1"/>
    </xf>
    <xf numFmtId="0" fontId="64" fillId="0" borderId="37" xfId="56" applyNumberFormat="1" applyFont="1" applyFill="1" applyBorder="1" applyAlignment="1" applyProtection="1">
      <alignment horizontal="center" vertical="top" wrapText="1"/>
    </xf>
    <xf numFmtId="49" fontId="86" fillId="0" borderId="31" xfId="2" applyNumberFormat="1" applyFont="1" applyFill="1" applyBorder="1" applyAlignment="1">
      <alignment horizontal="center" vertical="center" wrapText="1"/>
    </xf>
    <xf numFmtId="49" fontId="86" fillId="0" borderId="64" xfId="2" applyNumberFormat="1" applyFont="1" applyFill="1" applyBorder="1" applyAlignment="1">
      <alignment horizontal="center" vertical="center" wrapText="1"/>
    </xf>
    <xf numFmtId="49" fontId="86" fillId="0" borderId="32" xfId="2" applyNumberFormat="1" applyFont="1" applyFill="1" applyBorder="1" applyAlignment="1">
      <alignment horizontal="center" vertical="center" wrapText="1"/>
    </xf>
    <xf numFmtId="49" fontId="86" fillId="0" borderId="52" xfId="2" applyNumberFormat="1" applyFont="1" applyFill="1" applyBorder="1" applyAlignment="1">
      <alignment horizontal="center" vertical="center" wrapText="1"/>
    </xf>
    <xf numFmtId="0" fontId="87" fillId="0" borderId="61" xfId="2" applyFont="1" applyFill="1" applyBorder="1" applyAlignment="1">
      <alignment horizontal="center" vertical="center" wrapText="1"/>
    </xf>
    <xf numFmtId="0" fontId="87" fillId="0" borderId="65" xfId="2" applyFont="1" applyFill="1" applyBorder="1" applyAlignment="1">
      <alignment horizontal="center" vertical="center" wrapText="1"/>
    </xf>
    <xf numFmtId="0" fontId="56" fillId="0" borderId="31" xfId="2" applyFont="1" applyFill="1" applyBorder="1" applyAlignment="1">
      <alignment horizontal="center" vertical="center" wrapText="1"/>
    </xf>
    <xf numFmtId="0" fontId="56" fillId="0" borderId="64" xfId="2" applyFont="1" applyFill="1" applyBorder="1" applyAlignment="1">
      <alignment horizontal="center" vertical="center" wrapText="1"/>
    </xf>
    <xf numFmtId="166" fontId="56" fillId="0" borderId="61" xfId="2" applyNumberFormat="1" applyFont="1" applyFill="1" applyBorder="1" applyAlignment="1">
      <alignment horizontal="center" vertical="center" wrapText="1"/>
    </xf>
    <xf numFmtId="166" fontId="56" fillId="0" borderId="65" xfId="2" applyNumberFormat="1" applyFont="1" applyFill="1" applyBorder="1" applyAlignment="1">
      <alignment horizontal="center" vertical="center" wrapText="1"/>
    </xf>
    <xf numFmtId="0" fontId="22" fillId="0" borderId="32" xfId="2" applyFont="1" applyFill="1" applyBorder="1" applyAlignment="1">
      <alignment horizontal="center" vertical="center" wrapText="1"/>
    </xf>
    <xf numFmtId="0" fontId="22" fillId="0" borderId="36" xfId="2" applyFont="1" applyFill="1" applyBorder="1" applyAlignment="1">
      <alignment horizontal="center" vertical="center" wrapText="1"/>
    </xf>
    <xf numFmtId="0" fontId="22" fillId="0" borderId="40" xfId="2" applyFont="1" applyFill="1" applyBorder="1" applyAlignment="1">
      <alignment horizontal="center" vertical="center" wrapText="1"/>
    </xf>
    <xf numFmtId="0" fontId="22" fillId="0" borderId="41" xfId="2" applyFont="1" applyFill="1" applyBorder="1" applyAlignment="1">
      <alignment horizontal="center" vertical="center" wrapText="1"/>
    </xf>
    <xf numFmtId="0" fontId="22" fillId="0" borderId="42" xfId="2" applyFont="1" applyFill="1" applyBorder="1" applyAlignment="1">
      <alignment horizontal="center" vertical="center" wrapText="1"/>
    </xf>
    <xf numFmtId="0" fontId="2" fillId="0" borderId="0" xfId="0" applyFont="1" applyAlignment="1">
      <alignment horizontal="center" wrapText="1"/>
    </xf>
    <xf numFmtId="0" fontId="1" fillId="0" borderId="0" xfId="0" applyFont="1" applyAlignment="1">
      <alignment horizontal="center"/>
    </xf>
    <xf numFmtId="0" fontId="4" fillId="0" borderId="2" xfId="0" applyFont="1" applyBorder="1" applyAlignment="1">
      <alignment horizontal="center" vertical="center" wrapText="1"/>
    </xf>
    <xf numFmtId="0" fontId="1" fillId="0" borderId="5" xfId="0" applyFont="1" applyBorder="1" applyAlignment="1">
      <alignment horizontal="center" vertical="center" wrapText="1"/>
    </xf>
    <xf numFmtId="0" fontId="4"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4" fillId="0" borderId="40" xfId="2" applyFont="1" applyFill="1" applyBorder="1" applyAlignment="1">
      <alignment horizontal="center" vertical="center" wrapText="1"/>
    </xf>
    <xf numFmtId="0" fontId="64" fillId="0" borderId="70" xfId="2" applyFont="1" applyFill="1" applyBorder="1" applyAlignment="1">
      <alignment horizontal="center" vertical="center" wrapText="1"/>
    </xf>
    <xf numFmtId="0" fontId="64" fillId="2" borderId="16" xfId="2" applyFont="1" applyFill="1" applyBorder="1" applyAlignment="1">
      <alignment horizontal="center" vertical="center" wrapText="1"/>
    </xf>
    <xf numFmtId="0" fontId="64" fillId="2" borderId="17" xfId="2" applyFont="1" applyFill="1" applyBorder="1" applyAlignment="1">
      <alignment horizontal="center" vertical="center" wrapText="1"/>
    </xf>
    <xf numFmtId="0" fontId="15" fillId="2" borderId="59" xfId="2" applyFont="1" applyFill="1" applyBorder="1" applyAlignment="1">
      <alignment vertical="top" wrapText="1"/>
    </xf>
    <xf numFmtId="0" fontId="97" fillId="2" borderId="59" xfId="2" applyFont="1" applyFill="1" applyBorder="1" applyAlignment="1">
      <alignment vertical="top" wrapText="1"/>
    </xf>
    <xf numFmtId="0" fontId="15" fillId="0" borderId="0" xfId="2" applyFont="1" applyAlignment="1">
      <alignment horizontal="left" vertical="center" wrapText="1"/>
    </xf>
    <xf numFmtId="0" fontId="64" fillId="0" borderId="0" xfId="2" applyFont="1" applyBorder="1" applyAlignment="1">
      <alignment horizontal="center" vertical="top" wrapText="1"/>
    </xf>
    <xf numFmtId="4" fontId="64" fillId="0" borderId="0" xfId="2" applyNumberFormat="1" applyFont="1" applyBorder="1" applyAlignment="1">
      <alignment horizontal="left" vertical="center" wrapText="1"/>
    </xf>
    <xf numFmtId="0" fontId="97" fillId="0" borderId="0" xfId="2" applyFont="1" applyAlignment="1">
      <alignment vertical="center" wrapText="1"/>
    </xf>
    <xf numFmtId="4" fontId="64" fillId="0" borderId="45" xfId="2" applyNumberFormat="1" applyFont="1" applyBorder="1" applyAlignment="1">
      <alignment horizontal="left" vertical="center" wrapText="1"/>
    </xf>
    <xf numFmtId="4" fontId="64" fillId="0" borderId="65" xfId="2" applyNumberFormat="1" applyFont="1" applyBorder="1" applyAlignment="1">
      <alignment horizontal="left" vertical="center" wrapText="1"/>
    </xf>
    <xf numFmtId="0" fontId="97" fillId="0" borderId="65" xfId="2" applyFont="1" applyBorder="1" applyAlignment="1">
      <alignment horizontal="left" vertical="center" wrapText="1"/>
    </xf>
    <xf numFmtId="0" fontId="15" fillId="2" borderId="40" xfId="2" applyFont="1" applyFill="1" applyBorder="1" applyAlignment="1">
      <alignment horizontal="center" vertical="center" wrapText="1"/>
    </xf>
    <xf numFmtId="0" fontId="15" fillId="2" borderId="70" xfId="2" applyFont="1" applyFill="1" applyBorder="1" applyAlignment="1">
      <alignment horizontal="center" vertical="center" wrapText="1"/>
    </xf>
    <xf numFmtId="0" fontId="64" fillId="2" borderId="51" xfId="2" applyFont="1" applyFill="1" applyBorder="1" applyAlignment="1">
      <alignment horizontal="left" vertical="center"/>
    </xf>
    <xf numFmtId="0" fontId="64" fillId="2" borderId="0" xfId="2" applyFont="1" applyFill="1" applyBorder="1" applyAlignment="1">
      <alignment horizontal="left" vertical="center"/>
    </xf>
    <xf numFmtId="0" fontId="97" fillId="2" borderId="0" xfId="2" applyFont="1" applyFill="1" applyBorder="1" applyAlignment="1">
      <alignment vertical="center"/>
    </xf>
    <xf numFmtId="0" fontId="97" fillId="2" borderId="53" xfId="2" applyFont="1" applyFill="1" applyBorder="1" applyAlignment="1">
      <alignment vertical="center"/>
    </xf>
    <xf numFmtId="0" fontId="106" fillId="0" borderId="0" xfId="0" applyFont="1" applyAlignment="1">
      <alignment horizontal="center"/>
    </xf>
    <xf numFmtId="0" fontId="105" fillId="0" borderId="0" xfId="0" applyFont="1" applyAlignment="1">
      <alignment horizontal="center"/>
    </xf>
    <xf numFmtId="0" fontId="107" fillId="0" borderId="0" xfId="0" applyFont="1" applyAlignment="1">
      <alignment horizontal="center" wrapText="1"/>
    </xf>
    <xf numFmtId="0" fontId="105" fillId="0" borderId="0" xfId="0" applyFont="1" applyAlignment="1">
      <alignment horizontal="center" wrapText="1"/>
    </xf>
    <xf numFmtId="0" fontId="104" fillId="0" borderId="0" xfId="0" applyFont="1" applyAlignment="1">
      <alignment horizontal="left" wrapText="1"/>
    </xf>
    <xf numFmtId="0" fontId="104" fillId="0" borderId="0" xfId="0" applyFont="1" applyAlignment="1">
      <alignment horizontal="right" wrapText="1"/>
    </xf>
    <xf numFmtId="0" fontId="1" fillId="0" borderId="1" xfId="0" applyFont="1" applyBorder="1" applyAlignment="1">
      <alignment wrapText="1"/>
    </xf>
  </cellXfs>
  <cellStyles count="72">
    <cellStyle name="20% – Акцентування1" xfId="3"/>
    <cellStyle name="20% – Акцентування2" xfId="4"/>
    <cellStyle name="20% – Акцентування3" xfId="5"/>
    <cellStyle name="20% – Акцентування4" xfId="6"/>
    <cellStyle name="20% – Акцентування5" xfId="7"/>
    <cellStyle name="20% – Акцентування6" xfId="8"/>
    <cellStyle name="40% – Акцентування1" xfId="9"/>
    <cellStyle name="40% – Акцентування2" xfId="10"/>
    <cellStyle name="40% – Акцентування3" xfId="11"/>
    <cellStyle name="40% – Акцентування4" xfId="12"/>
    <cellStyle name="40% – Акцентування5" xfId="13"/>
    <cellStyle name="40% – Акцентування6" xfId="14"/>
    <cellStyle name="60% – Акцентування1" xfId="15"/>
    <cellStyle name="60% – Акцентування2" xfId="16"/>
    <cellStyle name="60% – Акцентування3" xfId="17"/>
    <cellStyle name="60% – Акцентування4" xfId="18"/>
    <cellStyle name="60% – Акцентування5" xfId="19"/>
    <cellStyle name="60% – Акцентування6" xfId="20"/>
    <cellStyle name="Normal_meresha_07" xfId="21"/>
    <cellStyle name="Акцентування1" xfId="22"/>
    <cellStyle name="Акцентування2" xfId="23"/>
    <cellStyle name="Акцентування3" xfId="24"/>
    <cellStyle name="Акцентування4" xfId="25"/>
    <cellStyle name="Акцентування5" xfId="26"/>
    <cellStyle name="Акцентування6" xfId="27"/>
    <cellStyle name="Ввід" xfId="28"/>
    <cellStyle name="Добре" xfId="29"/>
    <cellStyle name="Звичайний 10" xfId="30"/>
    <cellStyle name="Звичайний 11" xfId="31"/>
    <cellStyle name="Звичайний 12" xfId="32"/>
    <cellStyle name="Звичайний 13" xfId="33"/>
    <cellStyle name="Звичайний 14" xfId="34"/>
    <cellStyle name="Звичайний 15" xfId="35"/>
    <cellStyle name="Звичайний 16" xfId="36"/>
    <cellStyle name="Звичайний 17" xfId="37"/>
    <cellStyle name="Звичайний 18" xfId="38"/>
    <cellStyle name="Звичайний 19" xfId="39"/>
    <cellStyle name="Звичайний 2" xfId="40"/>
    <cellStyle name="Звичайний 20" xfId="41"/>
    <cellStyle name="Звичайний 3" xfId="42"/>
    <cellStyle name="Звичайний 4" xfId="43"/>
    <cellStyle name="Звичайний 5" xfId="44"/>
    <cellStyle name="Звичайний 6" xfId="45"/>
    <cellStyle name="Звичайний 7" xfId="46"/>
    <cellStyle name="Звичайний 8" xfId="47"/>
    <cellStyle name="Звичайний 9" xfId="48"/>
    <cellStyle name="Звичайний_Додаток _ 3 зм_ни 4575" xfId="49"/>
    <cellStyle name="Зв'язана клітинка" xfId="50"/>
    <cellStyle name="Контрольна клітинка" xfId="51"/>
    <cellStyle name="Назва" xfId="52"/>
    <cellStyle name="Обчислення" xfId="53"/>
    <cellStyle name="Обычный" xfId="0" builtinId="0"/>
    <cellStyle name="Обычный 10" xfId="54"/>
    <cellStyle name="Обычный 11" xfId="55"/>
    <cellStyle name="Обычный 2" xfId="2"/>
    <cellStyle name="Обычный 2 2" xfId="56"/>
    <cellStyle name="Обычный 2_Дод до ріш.№ 1182 Про внесення змін у міський бюджет на 2019 рік" xfId="57"/>
    <cellStyle name="Обычный 3" xfId="1"/>
    <cellStyle name="Обычный 4" xfId="58"/>
    <cellStyle name="Обычный 5" xfId="59"/>
    <cellStyle name="Обычный 6" xfId="60"/>
    <cellStyle name="Обычный 7" xfId="61"/>
    <cellStyle name="Обычный 8" xfId="62"/>
    <cellStyle name="Обычный 9" xfId="63"/>
    <cellStyle name="Підсумок" xfId="64"/>
    <cellStyle name="Поганий" xfId="65"/>
    <cellStyle name="Примітка" xfId="66"/>
    <cellStyle name="Результат" xfId="67"/>
    <cellStyle name="Середній" xfId="68"/>
    <cellStyle name="Стиль 1" xfId="69"/>
    <cellStyle name="Текст попередження" xfId="70"/>
    <cellStyle name="Текст пояснення" xfId="71"/>
  </cellStyles>
  <dxfs count="8">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s>
  <tableStyles count="0" defaultTableStyle="TableStyleMedium2" defaultPivotStyle="PivotStyleLight16"/>
  <colors>
    <mruColors>
      <color rgb="FF66FFFF"/>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1076;&#1086;&#1076;&#1072;&#1090;&#1082;&#1080;%20&#1076;&#1086;%20&#1088;&#1110;&#1096;%20&#8470;%20100%20&#1087;&#1088;&#1086;%20&#1079;&#1084;&#1110;&#1085;&#1080;%20&#1076;&#1086;%20&#1084;&#1110;&#1089;&#1100;&#1082;&#1086;&#1075;&#1086;%20&#1073;&#1102;&#1078;&#1077;&#1090;&#1091;%20&#1085;&#1072;%202021%20&#1088;&#1110;&#10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д 1"/>
      <sheetName val="дод 2"/>
      <sheetName val="дод 3 "/>
      <sheetName val="дод 4"/>
      <sheetName val="Дод 5"/>
      <sheetName val="дод 6 "/>
      <sheetName val="дод7"/>
      <sheetName val="дод.8"/>
    </sheetNames>
    <sheetDataSet>
      <sheetData sheetId="0">
        <row r="93">
          <cell r="D93">
            <v>2855300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1"/>
  <sheetViews>
    <sheetView zoomScaleNormal="100" zoomScaleSheetLayoutView="87" workbookViewId="0">
      <selection activeCell="A4" sqref="A4:F4"/>
    </sheetView>
  </sheetViews>
  <sheetFormatPr defaultRowHeight="13.2" x14ac:dyDescent="0.25"/>
  <cols>
    <col min="1" max="1" width="11.6640625" style="46" customWidth="1"/>
    <col min="2" max="2" width="58.44140625" style="92" customWidth="1"/>
    <col min="3" max="3" width="15.109375" style="46" customWidth="1"/>
    <col min="4" max="4" width="15.88671875" style="46" customWidth="1"/>
    <col min="5" max="5" width="13.109375" style="46" customWidth="1"/>
    <col min="6" max="6" width="14" style="46" customWidth="1"/>
    <col min="7" max="7" width="13.109375" style="46" hidden="1" customWidth="1"/>
    <col min="8" max="11" width="9.109375" style="46" hidden="1" customWidth="1"/>
    <col min="12" max="12" width="29.5546875" style="46" hidden="1" customWidth="1"/>
    <col min="13" max="13" width="0" style="46" hidden="1" customWidth="1"/>
    <col min="14" max="14" width="9.109375" style="46"/>
    <col min="15" max="15" width="0" style="46" hidden="1" customWidth="1"/>
    <col min="16" max="256" width="9.109375" style="46"/>
    <col min="257" max="257" width="9.88671875" style="46" customWidth="1"/>
    <col min="258" max="258" width="58.44140625" style="46" customWidth="1"/>
    <col min="259" max="259" width="15.109375" style="46" customWidth="1"/>
    <col min="260" max="260" width="15.88671875" style="46" customWidth="1"/>
    <col min="261" max="261" width="12.109375" style="46" customWidth="1"/>
    <col min="262" max="262" width="12.6640625" style="46" customWidth="1"/>
    <col min="263" max="269" width="0" style="46" hidden="1" customWidth="1"/>
    <col min="270" max="270" width="9.109375" style="46"/>
    <col min="271" max="271" width="0" style="46" hidden="1" customWidth="1"/>
    <col min="272" max="512" width="9.109375" style="46"/>
    <col min="513" max="513" width="9.88671875" style="46" customWidth="1"/>
    <col min="514" max="514" width="58.44140625" style="46" customWidth="1"/>
    <col min="515" max="515" width="15.109375" style="46" customWidth="1"/>
    <col min="516" max="516" width="15.88671875" style="46" customWidth="1"/>
    <col min="517" max="517" width="12.109375" style="46" customWidth="1"/>
    <col min="518" max="518" width="12.6640625" style="46" customWidth="1"/>
    <col min="519" max="525" width="0" style="46" hidden="1" customWidth="1"/>
    <col min="526" max="526" width="9.109375" style="46"/>
    <col min="527" max="527" width="0" style="46" hidden="1" customWidth="1"/>
    <col min="528" max="768" width="9.109375" style="46"/>
    <col min="769" max="769" width="9.88671875" style="46" customWidth="1"/>
    <col min="770" max="770" width="58.44140625" style="46" customWidth="1"/>
    <col min="771" max="771" width="15.109375" style="46" customWidth="1"/>
    <col min="772" max="772" width="15.88671875" style="46" customWidth="1"/>
    <col min="773" max="773" width="12.109375" style="46" customWidth="1"/>
    <col min="774" max="774" width="12.6640625" style="46" customWidth="1"/>
    <col min="775" max="781" width="0" style="46" hidden="1" customWidth="1"/>
    <col min="782" max="782" width="9.109375" style="46"/>
    <col min="783" max="783" width="0" style="46" hidden="1" customWidth="1"/>
    <col min="784" max="1024" width="9.109375" style="46"/>
    <col min="1025" max="1025" width="9.88671875" style="46" customWidth="1"/>
    <col min="1026" max="1026" width="58.44140625" style="46" customWidth="1"/>
    <col min="1027" max="1027" width="15.109375" style="46" customWidth="1"/>
    <col min="1028" max="1028" width="15.88671875" style="46" customWidth="1"/>
    <col min="1029" max="1029" width="12.109375" style="46" customWidth="1"/>
    <col min="1030" max="1030" width="12.6640625" style="46" customWidth="1"/>
    <col min="1031" max="1037" width="0" style="46" hidden="1" customWidth="1"/>
    <col min="1038" max="1038" width="9.109375" style="46"/>
    <col min="1039" max="1039" width="0" style="46" hidden="1" customWidth="1"/>
    <col min="1040" max="1280" width="9.109375" style="46"/>
    <col min="1281" max="1281" width="9.88671875" style="46" customWidth="1"/>
    <col min="1282" max="1282" width="58.44140625" style="46" customWidth="1"/>
    <col min="1283" max="1283" width="15.109375" style="46" customWidth="1"/>
    <col min="1284" max="1284" width="15.88671875" style="46" customWidth="1"/>
    <col min="1285" max="1285" width="12.109375" style="46" customWidth="1"/>
    <col min="1286" max="1286" width="12.6640625" style="46" customWidth="1"/>
    <col min="1287" max="1293" width="0" style="46" hidden="1" customWidth="1"/>
    <col min="1294" max="1294" width="9.109375" style="46"/>
    <col min="1295" max="1295" width="0" style="46" hidden="1" customWidth="1"/>
    <col min="1296" max="1536" width="9.109375" style="46"/>
    <col min="1537" max="1537" width="9.88671875" style="46" customWidth="1"/>
    <col min="1538" max="1538" width="58.44140625" style="46" customWidth="1"/>
    <col min="1539" max="1539" width="15.109375" style="46" customWidth="1"/>
    <col min="1540" max="1540" width="15.88671875" style="46" customWidth="1"/>
    <col min="1541" max="1541" width="12.109375" style="46" customWidth="1"/>
    <col min="1542" max="1542" width="12.6640625" style="46" customWidth="1"/>
    <col min="1543" max="1549" width="0" style="46" hidden="1" customWidth="1"/>
    <col min="1550" max="1550" width="9.109375" style="46"/>
    <col min="1551" max="1551" width="0" style="46" hidden="1" customWidth="1"/>
    <col min="1552" max="1792" width="9.109375" style="46"/>
    <col min="1793" max="1793" width="9.88671875" style="46" customWidth="1"/>
    <col min="1794" max="1794" width="58.44140625" style="46" customWidth="1"/>
    <col min="1795" max="1795" width="15.109375" style="46" customWidth="1"/>
    <col min="1796" max="1796" width="15.88671875" style="46" customWidth="1"/>
    <col min="1797" max="1797" width="12.109375" style="46" customWidth="1"/>
    <col min="1798" max="1798" width="12.6640625" style="46" customWidth="1"/>
    <col min="1799" max="1805" width="0" style="46" hidden="1" customWidth="1"/>
    <col min="1806" max="1806" width="9.109375" style="46"/>
    <col min="1807" max="1807" width="0" style="46" hidden="1" customWidth="1"/>
    <col min="1808" max="2048" width="9.109375" style="46"/>
    <col min="2049" max="2049" width="9.88671875" style="46" customWidth="1"/>
    <col min="2050" max="2050" width="58.44140625" style="46" customWidth="1"/>
    <col min="2051" max="2051" width="15.109375" style="46" customWidth="1"/>
    <col min="2052" max="2052" width="15.88671875" style="46" customWidth="1"/>
    <col min="2053" max="2053" width="12.109375" style="46" customWidth="1"/>
    <col min="2054" max="2054" width="12.6640625" style="46" customWidth="1"/>
    <col min="2055" max="2061" width="0" style="46" hidden="1" customWidth="1"/>
    <col min="2062" max="2062" width="9.109375" style="46"/>
    <col min="2063" max="2063" width="0" style="46" hidden="1" customWidth="1"/>
    <col min="2064" max="2304" width="9.109375" style="46"/>
    <col min="2305" max="2305" width="9.88671875" style="46" customWidth="1"/>
    <col min="2306" max="2306" width="58.44140625" style="46" customWidth="1"/>
    <col min="2307" max="2307" width="15.109375" style="46" customWidth="1"/>
    <col min="2308" max="2308" width="15.88671875" style="46" customWidth="1"/>
    <col min="2309" max="2309" width="12.109375" style="46" customWidth="1"/>
    <col min="2310" max="2310" width="12.6640625" style="46" customWidth="1"/>
    <col min="2311" max="2317" width="0" style="46" hidden="1" customWidth="1"/>
    <col min="2318" max="2318" width="9.109375" style="46"/>
    <col min="2319" max="2319" width="0" style="46" hidden="1" customWidth="1"/>
    <col min="2320" max="2560" width="9.109375" style="46"/>
    <col min="2561" max="2561" width="9.88671875" style="46" customWidth="1"/>
    <col min="2562" max="2562" width="58.44140625" style="46" customWidth="1"/>
    <col min="2563" max="2563" width="15.109375" style="46" customWidth="1"/>
    <col min="2564" max="2564" width="15.88671875" style="46" customWidth="1"/>
    <col min="2565" max="2565" width="12.109375" style="46" customWidth="1"/>
    <col min="2566" max="2566" width="12.6640625" style="46" customWidth="1"/>
    <col min="2567" max="2573" width="0" style="46" hidden="1" customWidth="1"/>
    <col min="2574" max="2574" width="9.109375" style="46"/>
    <col min="2575" max="2575" width="0" style="46" hidden="1" customWidth="1"/>
    <col min="2576" max="2816" width="9.109375" style="46"/>
    <col min="2817" max="2817" width="9.88671875" style="46" customWidth="1"/>
    <col min="2818" max="2818" width="58.44140625" style="46" customWidth="1"/>
    <col min="2819" max="2819" width="15.109375" style="46" customWidth="1"/>
    <col min="2820" max="2820" width="15.88671875" style="46" customWidth="1"/>
    <col min="2821" max="2821" width="12.109375" style="46" customWidth="1"/>
    <col min="2822" max="2822" width="12.6640625" style="46" customWidth="1"/>
    <col min="2823" max="2829" width="0" style="46" hidden="1" customWidth="1"/>
    <col min="2830" max="2830" width="9.109375" style="46"/>
    <col min="2831" max="2831" width="0" style="46" hidden="1" customWidth="1"/>
    <col min="2832" max="3072" width="9.109375" style="46"/>
    <col min="3073" max="3073" width="9.88671875" style="46" customWidth="1"/>
    <col min="3074" max="3074" width="58.44140625" style="46" customWidth="1"/>
    <col min="3075" max="3075" width="15.109375" style="46" customWidth="1"/>
    <col min="3076" max="3076" width="15.88671875" style="46" customWidth="1"/>
    <col min="3077" max="3077" width="12.109375" style="46" customWidth="1"/>
    <col min="3078" max="3078" width="12.6640625" style="46" customWidth="1"/>
    <col min="3079" max="3085" width="0" style="46" hidden="1" customWidth="1"/>
    <col min="3086" max="3086" width="9.109375" style="46"/>
    <col min="3087" max="3087" width="0" style="46" hidden="1" customWidth="1"/>
    <col min="3088" max="3328" width="9.109375" style="46"/>
    <col min="3329" max="3329" width="9.88671875" style="46" customWidth="1"/>
    <col min="3330" max="3330" width="58.44140625" style="46" customWidth="1"/>
    <col min="3331" max="3331" width="15.109375" style="46" customWidth="1"/>
    <col min="3332" max="3332" width="15.88671875" style="46" customWidth="1"/>
    <col min="3333" max="3333" width="12.109375" style="46" customWidth="1"/>
    <col min="3334" max="3334" width="12.6640625" style="46" customWidth="1"/>
    <col min="3335" max="3341" width="0" style="46" hidden="1" customWidth="1"/>
    <col min="3342" max="3342" width="9.109375" style="46"/>
    <col min="3343" max="3343" width="0" style="46" hidden="1" customWidth="1"/>
    <col min="3344" max="3584" width="9.109375" style="46"/>
    <col min="3585" max="3585" width="9.88671875" style="46" customWidth="1"/>
    <col min="3586" max="3586" width="58.44140625" style="46" customWidth="1"/>
    <col min="3587" max="3587" width="15.109375" style="46" customWidth="1"/>
    <col min="3588" max="3588" width="15.88671875" style="46" customWidth="1"/>
    <col min="3589" max="3589" width="12.109375" style="46" customWidth="1"/>
    <col min="3590" max="3590" width="12.6640625" style="46" customWidth="1"/>
    <col min="3591" max="3597" width="0" style="46" hidden="1" customWidth="1"/>
    <col min="3598" max="3598" width="9.109375" style="46"/>
    <col min="3599" max="3599" width="0" style="46" hidden="1" customWidth="1"/>
    <col min="3600" max="3840" width="9.109375" style="46"/>
    <col min="3841" max="3841" width="9.88671875" style="46" customWidth="1"/>
    <col min="3842" max="3842" width="58.44140625" style="46" customWidth="1"/>
    <col min="3843" max="3843" width="15.109375" style="46" customWidth="1"/>
    <col min="3844" max="3844" width="15.88671875" style="46" customWidth="1"/>
    <col min="3845" max="3845" width="12.109375" style="46" customWidth="1"/>
    <col min="3846" max="3846" width="12.6640625" style="46" customWidth="1"/>
    <col min="3847" max="3853" width="0" style="46" hidden="1" customWidth="1"/>
    <col min="3854" max="3854" width="9.109375" style="46"/>
    <col min="3855" max="3855" width="0" style="46" hidden="1" customWidth="1"/>
    <col min="3856" max="4096" width="9.109375" style="46"/>
    <col min="4097" max="4097" width="9.88671875" style="46" customWidth="1"/>
    <col min="4098" max="4098" width="58.44140625" style="46" customWidth="1"/>
    <col min="4099" max="4099" width="15.109375" style="46" customWidth="1"/>
    <col min="4100" max="4100" width="15.88671875" style="46" customWidth="1"/>
    <col min="4101" max="4101" width="12.109375" style="46" customWidth="1"/>
    <col min="4102" max="4102" width="12.6640625" style="46" customWidth="1"/>
    <col min="4103" max="4109" width="0" style="46" hidden="1" customWidth="1"/>
    <col min="4110" max="4110" width="9.109375" style="46"/>
    <col min="4111" max="4111" width="0" style="46" hidden="1" customWidth="1"/>
    <col min="4112" max="4352" width="9.109375" style="46"/>
    <col min="4353" max="4353" width="9.88671875" style="46" customWidth="1"/>
    <col min="4354" max="4354" width="58.44140625" style="46" customWidth="1"/>
    <col min="4355" max="4355" width="15.109375" style="46" customWidth="1"/>
    <col min="4356" max="4356" width="15.88671875" style="46" customWidth="1"/>
    <col min="4357" max="4357" width="12.109375" style="46" customWidth="1"/>
    <col min="4358" max="4358" width="12.6640625" style="46" customWidth="1"/>
    <col min="4359" max="4365" width="0" style="46" hidden="1" customWidth="1"/>
    <col min="4366" max="4366" width="9.109375" style="46"/>
    <col min="4367" max="4367" width="0" style="46" hidden="1" customWidth="1"/>
    <col min="4368" max="4608" width="9.109375" style="46"/>
    <col min="4609" max="4609" width="9.88671875" style="46" customWidth="1"/>
    <col min="4610" max="4610" width="58.44140625" style="46" customWidth="1"/>
    <col min="4611" max="4611" width="15.109375" style="46" customWidth="1"/>
    <col min="4612" max="4612" width="15.88671875" style="46" customWidth="1"/>
    <col min="4613" max="4613" width="12.109375" style="46" customWidth="1"/>
    <col min="4614" max="4614" width="12.6640625" style="46" customWidth="1"/>
    <col min="4615" max="4621" width="0" style="46" hidden="1" customWidth="1"/>
    <col min="4622" max="4622" width="9.109375" style="46"/>
    <col min="4623" max="4623" width="0" style="46" hidden="1" customWidth="1"/>
    <col min="4624" max="4864" width="9.109375" style="46"/>
    <col min="4865" max="4865" width="9.88671875" style="46" customWidth="1"/>
    <col min="4866" max="4866" width="58.44140625" style="46" customWidth="1"/>
    <col min="4867" max="4867" width="15.109375" style="46" customWidth="1"/>
    <col min="4868" max="4868" width="15.88671875" style="46" customWidth="1"/>
    <col min="4869" max="4869" width="12.109375" style="46" customWidth="1"/>
    <col min="4870" max="4870" width="12.6640625" style="46" customWidth="1"/>
    <col min="4871" max="4877" width="0" style="46" hidden="1" customWidth="1"/>
    <col min="4878" max="4878" width="9.109375" style="46"/>
    <col min="4879" max="4879" width="0" style="46" hidden="1" customWidth="1"/>
    <col min="4880" max="5120" width="9.109375" style="46"/>
    <col min="5121" max="5121" width="9.88671875" style="46" customWidth="1"/>
    <col min="5122" max="5122" width="58.44140625" style="46" customWidth="1"/>
    <col min="5123" max="5123" width="15.109375" style="46" customWidth="1"/>
    <col min="5124" max="5124" width="15.88671875" style="46" customWidth="1"/>
    <col min="5125" max="5125" width="12.109375" style="46" customWidth="1"/>
    <col min="5126" max="5126" width="12.6640625" style="46" customWidth="1"/>
    <col min="5127" max="5133" width="0" style="46" hidden="1" customWidth="1"/>
    <col min="5134" max="5134" width="9.109375" style="46"/>
    <col min="5135" max="5135" width="0" style="46" hidden="1" customWidth="1"/>
    <col min="5136" max="5376" width="9.109375" style="46"/>
    <col min="5377" max="5377" width="9.88671875" style="46" customWidth="1"/>
    <col min="5378" max="5378" width="58.44140625" style="46" customWidth="1"/>
    <col min="5379" max="5379" width="15.109375" style="46" customWidth="1"/>
    <col min="5380" max="5380" width="15.88671875" style="46" customWidth="1"/>
    <col min="5381" max="5381" width="12.109375" style="46" customWidth="1"/>
    <col min="5382" max="5382" width="12.6640625" style="46" customWidth="1"/>
    <col min="5383" max="5389" width="0" style="46" hidden="1" customWidth="1"/>
    <col min="5390" max="5390" width="9.109375" style="46"/>
    <col min="5391" max="5391" width="0" style="46" hidden="1" customWidth="1"/>
    <col min="5392" max="5632" width="9.109375" style="46"/>
    <col min="5633" max="5633" width="9.88671875" style="46" customWidth="1"/>
    <col min="5634" max="5634" width="58.44140625" style="46" customWidth="1"/>
    <col min="5635" max="5635" width="15.109375" style="46" customWidth="1"/>
    <col min="5636" max="5636" width="15.88671875" style="46" customWidth="1"/>
    <col min="5637" max="5637" width="12.109375" style="46" customWidth="1"/>
    <col min="5638" max="5638" width="12.6640625" style="46" customWidth="1"/>
    <col min="5639" max="5645" width="0" style="46" hidden="1" customWidth="1"/>
    <col min="5646" max="5646" width="9.109375" style="46"/>
    <col min="5647" max="5647" width="0" style="46" hidden="1" customWidth="1"/>
    <col min="5648" max="5888" width="9.109375" style="46"/>
    <col min="5889" max="5889" width="9.88671875" style="46" customWidth="1"/>
    <col min="5890" max="5890" width="58.44140625" style="46" customWidth="1"/>
    <col min="5891" max="5891" width="15.109375" style="46" customWidth="1"/>
    <col min="5892" max="5892" width="15.88671875" style="46" customWidth="1"/>
    <col min="5893" max="5893" width="12.109375" style="46" customWidth="1"/>
    <col min="5894" max="5894" width="12.6640625" style="46" customWidth="1"/>
    <col min="5895" max="5901" width="0" style="46" hidden="1" customWidth="1"/>
    <col min="5902" max="5902" width="9.109375" style="46"/>
    <col min="5903" max="5903" width="0" style="46" hidden="1" customWidth="1"/>
    <col min="5904" max="6144" width="9.109375" style="46"/>
    <col min="6145" max="6145" width="9.88671875" style="46" customWidth="1"/>
    <col min="6146" max="6146" width="58.44140625" style="46" customWidth="1"/>
    <col min="6147" max="6147" width="15.109375" style="46" customWidth="1"/>
    <col min="6148" max="6148" width="15.88671875" style="46" customWidth="1"/>
    <col min="6149" max="6149" width="12.109375" style="46" customWidth="1"/>
    <col min="6150" max="6150" width="12.6640625" style="46" customWidth="1"/>
    <col min="6151" max="6157" width="0" style="46" hidden="1" customWidth="1"/>
    <col min="6158" max="6158" width="9.109375" style="46"/>
    <col min="6159" max="6159" width="0" style="46" hidden="1" customWidth="1"/>
    <col min="6160" max="6400" width="9.109375" style="46"/>
    <col min="6401" max="6401" width="9.88671875" style="46" customWidth="1"/>
    <col min="6402" max="6402" width="58.44140625" style="46" customWidth="1"/>
    <col min="6403" max="6403" width="15.109375" style="46" customWidth="1"/>
    <col min="6404" max="6404" width="15.88671875" style="46" customWidth="1"/>
    <col min="6405" max="6405" width="12.109375" style="46" customWidth="1"/>
    <col min="6406" max="6406" width="12.6640625" style="46" customWidth="1"/>
    <col min="6407" max="6413" width="0" style="46" hidden="1" customWidth="1"/>
    <col min="6414" max="6414" width="9.109375" style="46"/>
    <col min="6415" max="6415" width="0" style="46" hidden="1" customWidth="1"/>
    <col min="6416" max="6656" width="9.109375" style="46"/>
    <col min="6657" max="6657" width="9.88671875" style="46" customWidth="1"/>
    <col min="6658" max="6658" width="58.44140625" style="46" customWidth="1"/>
    <col min="6659" max="6659" width="15.109375" style="46" customWidth="1"/>
    <col min="6660" max="6660" width="15.88671875" style="46" customWidth="1"/>
    <col min="6661" max="6661" width="12.109375" style="46" customWidth="1"/>
    <col min="6662" max="6662" width="12.6640625" style="46" customWidth="1"/>
    <col min="6663" max="6669" width="0" style="46" hidden="1" customWidth="1"/>
    <col min="6670" max="6670" width="9.109375" style="46"/>
    <col min="6671" max="6671" width="0" style="46" hidden="1" customWidth="1"/>
    <col min="6672" max="6912" width="9.109375" style="46"/>
    <col min="6913" max="6913" width="9.88671875" style="46" customWidth="1"/>
    <col min="6914" max="6914" width="58.44140625" style="46" customWidth="1"/>
    <col min="6915" max="6915" width="15.109375" style="46" customWidth="1"/>
    <col min="6916" max="6916" width="15.88671875" style="46" customWidth="1"/>
    <col min="6917" max="6917" width="12.109375" style="46" customWidth="1"/>
    <col min="6918" max="6918" width="12.6640625" style="46" customWidth="1"/>
    <col min="6919" max="6925" width="0" style="46" hidden="1" customWidth="1"/>
    <col min="6926" max="6926" width="9.109375" style="46"/>
    <col min="6927" max="6927" width="0" style="46" hidden="1" customWidth="1"/>
    <col min="6928" max="7168" width="9.109375" style="46"/>
    <col min="7169" max="7169" width="9.88671875" style="46" customWidth="1"/>
    <col min="7170" max="7170" width="58.44140625" style="46" customWidth="1"/>
    <col min="7171" max="7171" width="15.109375" style="46" customWidth="1"/>
    <col min="7172" max="7172" width="15.88671875" style="46" customWidth="1"/>
    <col min="7173" max="7173" width="12.109375" style="46" customWidth="1"/>
    <col min="7174" max="7174" width="12.6640625" style="46" customWidth="1"/>
    <col min="7175" max="7181" width="0" style="46" hidden="1" customWidth="1"/>
    <col min="7182" max="7182" width="9.109375" style="46"/>
    <col min="7183" max="7183" width="0" style="46" hidden="1" customWidth="1"/>
    <col min="7184" max="7424" width="9.109375" style="46"/>
    <col min="7425" max="7425" width="9.88671875" style="46" customWidth="1"/>
    <col min="7426" max="7426" width="58.44140625" style="46" customWidth="1"/>
    <col min="7427" max="7427" width="15.109375" style="46" customWidth="1"/>
    <col min="7428" max="7428" width="15.88671875" style="46" customWidth="1"/>
    <col min="7429" max="7429" width="12.109375" style="46" customWidth="1"/>
    <col min="7430" max="7430" width="12.6640625" style="46" customWidth="1"/>
    <col min="7431" max="7437" width="0" style="46" hidden="1" customWidth="1"/>
    <col min="7438" max="7438" width="9.109375" style="46"/>
    <col min="7439" max="7439" width="0" style="46" hidden="1" customWidth="1"/>
    <col min="7440" max="7680" width="9.109375" style="46"/>
    <col min="7681" max="7681" width="9.88671875" style="46" customWidth="1"/>
    <col min="7682" max="7682" width="58.44140625" style="46" customWidth="1"/>
    <col min="7683" max="7683" width="15.109375" style="46" customWidth="1"/>
    <col min="7684" max="7684" width="15.88671875" style="46" customWidth="1"/>
    <col min="7685" max="7685" width="12.109375" style="46" customWidth="1"/>
    <col min="7686" max="7686" width="12.6640625" style="46" customWidth="1"/>
    <col min="7687" max="7693" width="0" style="46" hidden="1" customWidth="1"/>
    <col min="7694" max="7694" width="9.109375" style="46"/>
    <col min="7695" max="7695" width="0" style="46" hidden="1" customWidth="1"/>
    <col min="7696" max="7936" width="9.109375" style="46"/>
    <col min="7937" max="7937" width="9.88671875" style="46" customWidth="1"/>
    <col min="7938" max="7938" width="58.44140625" style="46" customWidth="1"/>
    <col min="7939" max="7939" width="15.109375" style="46" customWidth="1"/>
    <col min="7940" max="7940" width="15.88671875" style="46" customWidth="1"/>
    <col min="7941" max="7941" width="12.109375" style="46" customWidth="1"/>
    <col min="7942" max="7942" width="12.6640625" style="46" customWidth="1"/>
    <col min="7943" max="7949" width="0" style="46" hidden="1" customWidth="1"/>
    <col min="7950" max="7950" width="9.109375" style="46"/>
    <col min="7951" max="7951" width="0" style="46" hidden="1" customWidth="1"/>
    <col min="7952" max="8192" width="9.109375" style="46"/>
    <col min="8193" max="8193" width="9.88671875" style="46" customWidth="1"/>
    <col min="8194" max="8194" width="58.44140625" style="46" customWidth="1"/>
    <col min="8195" max="8195" width="15.109375" style="46" customWidth="1"/>
    <col min="8196" max="8196" width="15.88671875" style="46" customWidth="1"/>
    <col min="8197" max="8197" width="12.109375" style="46" customWidth="1"/>
    <col min="8198" max="8198" width="12.6640625" style="46" customWidth="1"/>
    <col min="8199" max="8205" width="0" style="46" hidden="1" customWidth="1"/>
    <col min="8206" max="8206" width="9.109375" style="46"/>
    <col min="8207" max="8207" width="0" style="46" hidden="1" customWidth="1"/>
    <col min="8208" max="8448" width="9.109375" style="46"/>
    <col min="8449" max="8449" width="9.88671875" style="46" customWidth="1"/>
    <col min="8450" max="8450" width="58.44140625" style="46" customWidth="1"/>
    <col min="8451" max="8451" width="15.109375" style="46" customWidth="1"/>
    <col min="8452" max="8452" width="15.88671875" style="46" customWidth="1"/>
    <col min="8453" max="8453" width="12.109375" style="46" customWidth="1"/>
    <col min="8454" max="8454" width="12.6640625" style="46" customWidth="1"/>
    <col min="8455" max="8461" width="0" style="46" hidden="1" customWidth="1"/>
    <col min="8462" max="8462" width="9.109375" style="46"/>
    <col min="8463" max="8463" width="0" style="46" hidden="1" customWidth="1"/>
    <col min="8464" max="8704" width="9.109375" style="46"/>
    <col min="8705" max="8705" width="9.88671875" style="46" customWidth="1"/>
    <col min="8706" max="8706" width="58.44140625" style="46" customWidth="1"/>
    <col min="8707" max="8707" width="15.109375" style="46" customWidth="1"/>
    <col min="8708" max="8708" width="15.88671875" style="46" customWidth="1"/>
    <col min="8709" max="8709" width="12.109375" style="46" customWidth="1"/>
    <col min="8710" max="8710" width="12.6640625" style="46" customWidth="1"/>
    <col min="8711" max="8717" width="0" style="46" hidden="1" customWidth="1"/>
    <col min="8718" max="8718" width="9.109375" style="46"/>
    <col min="8719" max="8719" width="0" style="46" hidden="1" customWidth="1"/>
    <col min="8720" max="8960" width="9.109375" style="46"/>
    <col min="8961" max="8961" width="9.88671875" style="46" customWidth="1"/>
    <col min="8962" max="8962" width="58.44140625" style="46" customWidth="1"/>
    <col min="8963" max="8963" width="15.109375" style="46" customWidth="1"/>
    <col min="8964" max="8964" width="15.88671875" style="46" customWidth="1"/>
    <col min="8965" max="8965" width="12.109375" style="46" customWidth="1"/>
    <col min="8966" max="8966" width="12.6640625" style="46" customWidth="1"/>
    <col min="8967" max="8973" width="0" style="46" hidden="1" customWidth="1"/>
    <col min="8974" max="8974" width="9.109375" style="46"/>
    <col min="8975" max="8975" width="0" style="46" hidden="1" customWidth="1"/>
    <col min="8976" max="9216" width="9.109375" style="46"/>
    <col min="9217" max="9217" width="9.88671875" style="46" customWidth="1"/>
    <col min="9218" max="9218" width="58.44140625" style="46" customWidth="1"/>
    <col min="9219" max="9219" width="15.109375" style="46" customWidth="1"/>
    <col min="9220" max="9220" width="15.88671875" style="46" customWidth="1"/>
    <col min="9221" max="9221" width="12.109375" style="46" customWidth="1"/>
    <col min="9222" max="9222" width="12.6640625" style="46" customWidth="1"/>
    <col min="9223" max="9229" width="0" style="46" hidden="1" customWidth="1"/>
    <col min="9230" max="9230" width="9.109375" style="46"/>
    <col min="9231" max="9231" width="0" style="46" hidden="1" customWidth="1"/>
    <col min="9232" max="9472" width="9.109375" style="46"/>
    <col min="9473" max="9473" width="9.88671875" style="46" customWidth="1"/>
    <col min="9474" max="9474" width="58.44140625" style="46" customWidth="1"/>
    <col min="9475" max="9475" width="15.109375" style="46" customWidth="1"/>
    <col min="9476" max="9476" width="15.88671875" style="46" customWidth="1"/>
    <col min="9477" max="9477" width="12.109375" style="46" customWidth="1"/>
    <col min="9478" max="9478" width="12.6640625" style="46" customWidth="1"/>
    <col min="9479" max="9485" width="0" style="46" hidden="1" customWidth="1"/>
    <col min="9486" max="9486" width="9.109375" style="46"/>
    <col min="9487" max="9487" width="0" style="46" hidden="1" customWidth="1"/>
    <col min="9488" max="9728" width="9.109375" style="46"/>
    <col min="9729" max="9729" width="9.88671875" style="46" customWidth="1"/>
    <col min="9730" max="9730" width="58.44140625" style="46" customWidth="1"/>
    <col min="9731" max="9731" width="15.109375" style="46" customWidth="1"/>
    <col min="9732" max="9732" width="15.88671875" style="46" customWidth="1"/>
    <col min="9733" max="9733" width="12.109375" style="46" customWidth="1"/>
    <col min="9734" max="9734" width="12.6640625" style="46" customWidth="1"/>
    <col min="9735" max="9741" width="0" style="46" hidden="1" customWidth="1"/>
    <col min="9742" max="9742" width="9.109375" style="46"/>
    <col min="9743" max="9743" width="0" style="46" hidden="1" customWidth="1"/>
    <col min="9744" max="9984" width="9.109375" style="46"/>
    <col min="9985" max="9985" width="9.88671875" style="46" customWidth="1"/>
    <col min="9986" max="9986" width="58.44140625" style="46" customWidth="1"/>
    <col min="9987" max="9987" width="15.109375" style="46" customWidth="1"/>
    <col min="9988" max="9988" width="15.88671875" style="46" customWidth="1"/>
    <col min="9989" max="9989" width="12.109375" style="46" customWidth="1"/>
    <col min="9990" max="9990" width="12.6640625" style="46" customWidth="1"/>
    <col min="9991" max="9997" width="0" style="46" hidden="1" customWidth="1"/>
    <col min="9998" max="9998" width="9.109375" style="46"/>
    <col min="9999" max="9999" width="0" style="46" hidden="1" customWidth="1"/>
    <col min="10000" max="10240" width="9.109375" style="46"/>
    <col min="10241" max="10241" width="9.88671875" style="46" customWidth="1"/>
    <col min="10242" max="10242" width="58.44140625" style="46" customWidth="1"/>
    <col min="10243" max="10243" width="15.109375" style="46" customWidth="1"/>
    <col min="10244" max="10244" width="15.88671875" style="46" customWidth="1"/>
    <col min="10245" max="10245" width="12.109375" style="46" customWidth="1"/>
    <col min="10246" max="10246" width="12.6640625" style="46" customWidth="1"/>
    <col min="10247" max="10253" width="0" style="46" hidden="1" customWidth="1"/>
    <col min="10254" max="10254" width="9.109375" style="46"/>
    <col min="10255" max="10255" width="0" style="46" hidden="1" customWidth="1"/>
    <col min="10256" max="10496" width="9.109375" style="46"/>
    <col min="10497" max="10497" width="9.88671875" style="46" customWidth="1"/>
    <col min="10498" max="10498" width="58.44140625" style="46" customWidth="1"/>
    <col min="10499" max="10499" width="15.109375" style="46" customWidth="1"/>
    <col min="10500" max="10500" width="15.88671875" style="46" customWidth="1"/>
    <col min="10501" max="10501" width="12.109375" style="46" customWidth="1"/>
    <col min="10502" max="10502" width="12.6640625" style="46" customWidth="1"/>
    <col min="10503" max="10509" width="0" style="46" hidden="1" customWidth="1"/>
    <col min="10510" max="10510" width="9.109375" style="46"/>
    <col min="10511" max="10511" width="0" style="46" hidden="1" customWidth="1"/>
    <col min="10512" max="10752" width="9.109375" style="46"/>
    <col min="10753" max="10753" width="9.88671875" style="46" customWidth="1"/>
    <col min="10754" max="10754" width="58.44140625" style="46" customWidth="1"/>
    <col min="10755" max="10755" width="15.109375" style="46" customWidth="1"/>
    <col min="10756" max="10756" width="15.88671875" style="46" customWidth="1"/>
    <col min="10757" max="10757" width="12.109375" style="46" customWidth="1"/>
    <col min="10758" max="10758" width="12.6640625" style="46" customWidth="1"/>
    <col min="10759" max="10765" width="0" style="46" hidden="1" customWidth="1"/>
    <col min="10766" max="10766" width="9.109375" style="46"/>
    <col min="10767" max="10767" width="0" style="46" hidden="1" customWidth="1"/>
    <col min="10768" max="11008" width="9.109375" style="46"/>
    <col min="11009" max="11009" width="9.88671875" style="46" customWidth="1"/>
    <col min="11010" max="11010" width="58.44140625" style="46" customWidth="1"/>
    <col min="11011" max="11011" width="15.109375" style="46" customWidth="1"/>
    <col min="11012" max="11012" width="15.88671875" style="46" customWidth="1"/>
    <col min="11013" max="11013" width="12.109375" style="46" customWidth="1"/>
    <col min="11014" max="11014" width="12.6640625" style="46" customWidth="1"/>
    <col min="11015" max="11021" width="0" style="46" hidden="1" customWidth="1"/>
    <col min="11022" max="11022" width="9.109375" style="46"/>
    <col min="11023" max="11023" width="0" style="46" hidden="1" customWidth="1"/>
    <col min="11024" max="11264" width="9.109375" style="46"/>
    <col min="11265" max="11265" width="9.88671875" style="46" customWidth="1"/>
    <col min="11266" max="11266" width="58.44140625" style="46" customWidth="1"/>
    <col min="11267" max="11267" width="15.109375" style="46" customWidth="1"/>
    <col min="11268" max="11268" width="15.88671875" style="46" customWidth="1"/>
    <col min="11269" max="11269" width="12.109375" style="46" customWidth="1"/>
    <col min="11270" max="11270" width="12.6640625" style="46" customWidth="1"/>
    <col min="11271" max="11277" width="0" style="46" hidden="1" customWidth="1"/>
    <col min="11278" max="11278" width="9.109375" style="46"/>
    <col min="11279" max="11279" width="0" style="46" hidden="1" customWidth="1"/>
    <col min="11280" max="11520" width="9.109375" style="46"/>
    <col min="11521" max="11521" width="9.88671875" style="46" customWidth="1"/>
    <col min="11522" max="11522" width="58.44140625" style="46" customWidth="1"/>
    <col min="11523" max="11523" width="15.109375" style="46" customWidth="1"/>
    <col min="11524" max="11524" width="15.88671875" style="46" customWidth="1"/>
    <col min="11525" max="11525" width="12.109375" style="46" customWidth="1"/>
    <col min="11526" max="11526" width="12.6640625" style="46" customWidth="1"/>
    <col min="11527" max="11533" width="0" style="46" hidden="1" customWidth="1"/>
    <col min="11534" max="11534" width="9.109375" style="46"/>
    <col min="11535" max="11535" width="0" style="46" hidden="1" customWidth="1"/>
    <col min="11536" max="11776" width="9.109375" style="46"/>
    <col min="11777" max="11777" width="9.88671875" style="46" customWidth="1"/>
    <col min="11778" max="11778" width="58.44140625" style="46" customWidth="1"/>
    <col min="11779" max="11779" width="15.109375" style="46" customWidth="1"/>
    <col min="11780" max="11780" width="15.88671875" style="46" customWidth="1"/>
    <col min="11781" max="11781" width="12.109375" style="46" customWidth="1"/>
    <col min="11782" max="11782" width="12.6640625" style="46" customWidth="1"/>
    <col min="11783" max="11789" width="0" style="46" hidden="1" customWidth="1"/>
    <col min="11790" max="11790" width="9.109375" style="46"/>
    <col min="11791" max="11791" width="0" style="46" hidden="1" customWidth="1"/>
    <col min="11792" max="12032" width="9.109375" style="46"/>
    <col min="12033" max="12033" width="9.88671875" style="46" customWidth="1"/>
    <col min="12034" max="12034" width="58.44140625" style="46" customWidth="1"/>
    <col min="12035" max="12035" width="15.109375" style="46" customWidth="1"/>
    <col min="12036" max="12036" width="15.88671875" style="46" customWidth="1"/>
    <col min="12037" max="12037" width="12.109375" style="46" customWidth="1"/>
    <col min="12038" max="12038" width="12.6640625" style="46" customWidth="1"/>
    <col min="12039" max="12045" width="0" style="46" hidden="1" customWidth="1"/>
    <col min="12046" max="12046" width="9.109375" style="46"/>
    <col min="12047" max="12047" width="0" style="46" hidden="1" customWidth="1"/>
    <col min="12048" max="12288" width="9.109375" style="46"/>
    <col min="12289" max="12289" width="9.88671875" style="46" customWidth="1"/>
    <col min="12290" max="12290" width="58.44140625" style="46" customWidth="1"/>
    <col min="12291" max="12291" width="15.109375" style="46" customWidth="1"/>
    <col min="12292" max="12292" width="15.88671875" style="46" customWidth="1"/>
    <col min="12293" max="12293" width="12.109375" style="46" customWidth="1"/>
    <col min="12294" max="12294" width="12.6640625" style="46" customWidth="1"/>
    <col min="12295" max="12301" width="0" style="46" hidden="1" customWidth="1"/>
    <col min="12302" max="12302" width="9.109375" style="46"/>
    <col min="12303" max="12303" width="0" style="46" hidden="1" customWidth="1"/>
    <col min="12304" max="12544" width="9.109375" style="46"/>
    <col min="12545" max="12545" width="9.88671875" style="46" customWidth="1"/>
    <col min="12546" max="12546" width="58.44140625" style="46" customWidth="1"/>
    <col min="12547" max="12547" width="15.109375" style="46" customWidth="1"/>
    <col min="12548" max="12548" width="15.88671875" style="46" customWidth="1"/>
    <col min="12549" max="12549" width="12.109375" style="46" customWidth="1"/>
    <col min="12550" max="12550" width="12.6640625" style="46" customWidth="1"/>
    <col min="12551" max="12557" width="0" style="46" hidden="1" customWidth="1"/>
    <col min="12558" max="12558" width="9.109375" style="46"/>
    <col min="12559" max="12559" width="0" style="46" hidden="1" customWidth="1"/>
    <col min="12560" max="12800" width="9.109375" style="46"/>
    <col min="12801" max="12801" width="9.88671875" style="46" customWidth="1"/>
    <col min="12802" max="12802" width="58.44140625" style="46" customWidth="1"/>
    <col min="12803" max="12803" width="15.109375" style="46" customWidth="1"/>
    <col min="12804" max="12804" width="15.88671875" style="46" customWidth="1"/>
    <col min="12805" max="12805" width="12.109375" style="46" customWidth="1"/>
    <col min="12806" max="12806" width="12.6640625" style="46" customWidth="1"/>
    <col min="12807" max="12813" width="0" style="46" hidden="1" customWidth="1"/>
    <col min="12814" max="12814" width="9.109375" style="46"/>
    <col min="12815" max="12815" width="0" style="46" hidden="1" customWidth="1"/>
    <col min="12816" max="13056" width="9.109375" style="46"/>
    <col min="13057" max="13057" width="9.88671875" style="46" customWidth="1"/>
    <col min="13058" max="13058" width="58.44140625" style="46" customWidth="1"/>
    <col min="13059" max="13059" width="15.109375" style="46" customWidth="1"/>
    <col min="13060" max="13060" width="15.88671875" style="46" customWidth="1"/>
    <col min="13061" max="13061" width="12.109375" style="46" customWidth="1"/>
    <col min="13062" max="13062" width="12.6640625" style="46" customWidth="1"/>
    <col min="13063" max="13069" width="0" style="46" hidden="1" customWidth="1"/>
    <col min="13070" max="13070" width="9.109375" style="46"/>
    <col min="13071" max="13071" width="0" style="46" hidden="1" customWidth="1"/>
    <col min="13072" max="13312" width="9.109375" style="46"/>
    <col min="13313" max="13313" width="9.88671875" style="46" customWidth="1"/>
    <col min="13314" max="13314" width="58.44140625" style="46" customWidth="1"/>
    <col min="13315" max="13315" width="15.109375" style="46" customWidth="1"/>
    <col min="13316" max="13316" width="15.88671875" style="46" customWidth="1"/>
    <col min="13317" max="13317" width="12.109375" style="46" customWidth="1"/>
    <col min="13318" max="13318" width="12.6640625" style="46" customWidth="1"/>
    <col min="13319" max="13325" width="0" style="46" hidden="1" customWidth="1"/>
    <col min="13326" max="13326" width="9.109375" style="46"/>
    <col min="13327" max="13327" width="0" style="46" hidden="1" customWidth="1"/>
    <col min="13328" max="13568" width="9.109375" style="46"/>
    <col min="13569" max="13569" width="9.88671875" style="46" customWidth="1"/>
    <col min="13570" max="13570" width="58.44140625" style="46" customWidth="1"/>
    <col min="13571" max="13571" width="15.109375" style="46" customWidth="1"/>
    <col min="13572" max="13572" width="15.88671875" style="46" customWidth="1"/>
    <col min="13573" max="13573" width="12.109375" style="46" customWidth="1"/>
    <col min="13574" max="13574" width="12.6640625" style="46" customWidth="1"/>
    <col min="13575" max="13581" width="0" style="46" hidden="1" customWidth="1"/>
    <col min="13582" max="13582" width="9.109375" style="46"/>
    <col min="13583" max="13583" width="0" style="46" hidden="1" customWidth="1"/>
    <col min="13584" max="13824" width="9.109375" style="46"/>
    <col min="13825" max="13825" width="9.88671875" style="46" customWidth="1"/>
    <col min="13826" max="13826" width="58.44140625" style="46" customWidth="1"/>
    <col min="13827" max="13827" width="15.109375" style="46" customWidth="1"/>
    <col min="13828" max="13828" width="15.88671875" style="46" customWidth="1"/>
    <col min="13829" max="13829" width="12.109375" style="46" customWidth="1"/>
    <col min="13830" max="13830" width="12.6640625" style="46" customWidth="1"/>
    <col min="13831" max="13837" width="0" style="46" hidden="1" customWidth="1"/>
    <col min="13838" max="13838" width="9.109375" style="46"/>
    <col min="13839" max="13839" width="0" style="46" hidden="1" customWidth="1"/>
    <col min="13840" max="14080" width="9.109375" style="46"/>
    <col min="14081" max="14081" width="9.88671875" style="46" customWidth="1"/>
    <col min="14082" max="14082" width="58.44140625" style="46" customWidth="1"/>
    <col min="14083" max="14083" width="15.109375" style="46" customWidth="1"/>
    <col min="14084" max="14084" width="15.88671875" style="46" customWidth="1"/>
    <col min="14085" max="14085" width="12.109375" style="46" customWidth="1"/>
    <col min="14086" max="14086" width="12.6640625" style="46" customWidth="1"/>
    <col min="14087" max="14093" width="0" style="46" hidden="1" customWidth="1"/>
    <col min="14094" max="14094" width="9.109375" style="46"/>
    <col min="14095" max="14095" width="0" style="46" hidden="1" customWidth="1"/>
    <col min="14096" max="14336" width="9.109375" style="46"/>
    <col min="14337" max="14337" width="9.88671875" style="46" customWidth="1"/>
    <col min="14338" max="14338" width="58.44140625" style="46" customWidth="1"/>
    <col min="14339" max="14339" width="15.109375" style="46" customWidth="1"/>
    <col min="14340" max="14340" width="15.88671875" style="46" customWidth="1"/>
    <col min="14341" max="14341" width="12.109375" style="46" customWidth="1"/>
    <col min="14342" max="14342" width="12.6640625" style="46" customWidth="1"/>
    <col min="14343" max="14349" width="0" style="46" hidden="1" customWidth="1"/>
    <col min="14350" max="14350" width="9.109375" style="46"/>
    <col min="14351" max="14351" width="0" style="46" hidden="1" customWidth="1"/>
    <col min="14352" max="14592" width="9.109375" style="46"/>
    <col min="14593" max="14593" width="9.88671875" style="46" customWidth="1"/>
    <col min="14594" max="14594" width="58.44140625" style="46" customWidth="1"/>
    <col min="14595" max="14595" width="15.109375" style="46" customWidth="1"/>
    <col min="14596" max="14596" width="15.88671875" style="46" customWidth="1"/>
    <col min="14597" max="14597" width="12.109375" style="46" customWidth="1"/>
    <col min="14598" max="14598" width="12.6640625" style="46" customWidth="1"/>
    <col min="14599" max="14605" width="0" style="46" hidden="1" customWidth="1"/>
    <col min="14606" max="14606" width="9.109375" style="46"/>
    <col min="14607" max="14607" width="0" style="46" hidden="1" customWidth="1"/>
    <col min="14608" max="14848" width="9.109375" style="46"/>
    <col min="14849" max="14849" width="9.88671875" style="46" customWidth="1"/>
    <col min="14850" max="14850" width="58.44140625" style="46" customWidth="1"/>
    <col min="14851" max="14851" width="15.109375" style="46" customWidth="1"/>
    <col min="14852" max="14852" width="15.88671875" style="46" customWidth="1"/>
    <col min="14853" max="14853" width="12.109375" style="46" customWidth="1"/>
    <col min="14854" max="14854" width="12.6640625" style="46" customWidth="1"/>
    <col min="14855" max="14861" width="0" style="46" hidden="1" customWidth="1"/>
    <col min="14862" max="14862" width="9.109375" style="46"/>
    <col min="14863" max="14863" width="0" style="46" hidden="1" customWidth="1"/>
    <col min="14864" max="15104" width="9.109375" style="46"/>
    <col min="15105" max="15105" width="9.88671875" style="46" customWidth="1"/>
    <col min="15106" max="15106" width="58.44140625" style="46" customWidth="1"/>
    <col min="15107" max="15107" width="15.109375" style="46" customWidth="1"/>
    <col min="15108" max="15108" width="15.88671875" style="46" customWidth="1"/>
    <col min="15109" max="15109" width="12.109375" style="46" customWidth="1"/>
    <col min="15110" max="15110" width="12.6640625" style="46" customWidth="1"/>
    <col min="15111" max="15117" width="0" style="46" hidden="1" customWidth="1"/>
    <col min="15118" max="15118" width="9.109375" style="46"/>
    <col min="15119" max="15119" width="0" style="46" hidden="1" customWidth="1"/>
    <col min="15120" max="15360" width="9.109375" style="46"/>
    <col min="15361" max="15361" width="9.88671875" style="46" customWidth="1"/>
    <col min="15362" max="15362" width="58.44140625" style="46" customWidth="1"/>
    <col min="15363" max="15363" width="15.109375" style="46" customWidth="1"/>
    <col min="15364" max="15364" width="15.88671875" style="46" customWidth="1"/>
    <col min="15365" max="15365" width="12.109375" style="46" customWidth="1"/>
    <col min="15366" max="15366" width="12.6640625" style="46" customWidth="1"/>
    <col min="15367" max="15373" width="0" style="46" hidden="1" customWidth="1"/>
    <col min="15374" max="15374" width="9.109375" style="46"/>
    <col min="15375" max="15375" width="0" style="46" hidden="1" customWidth="1"/>
    <col min="15376" max="15616" width="9.109375" style="46"/>
    <col min="15617" max="15617" width="9.88671875" style="46" customWidth="1"/>
    <col min="15618" max="15618" width="58.44140625" style="46" customWidth="1"/>
    <col min="15619" max="15619" width="15.109375" style="46" customWidth="1"/>
    <col min="15620" max="15620" width="15.88671875" style="46" customWidth="1"/>
    <col min="15621" max="15621" width="12.109375" style="46" customWidth="1"/>
    <col min="15622" max="15622" width="12.6640625" style="46" customWidth="1"/>
    <col min="15623" max="15629" width="0" style="46" hidden="1" customWidth="1"/>
    <col min="15630" max="15630" width="9.109375" style="46"/>
    <col min="15631" max="15631" width="0" style="46" hidden="1" customWidth="1"/>
    <col min="15632" max="15872" width="9.109375" style="46"/>
    <col min="15873" max="15873" width="9.88671875" style="46" customWidth="1"/>
    <col min="15874" max="15874" width="58.44140625" style="46" customWidth="1"/>
    <col min="15875" max="15875" width="15.109375" style="46" customWidth="1"/>
    <col min="15876" max="15876" width="15.88671875" style="46" customWidth="1"/>
    <col min="15877" max="15877" width="12.109375" style="46" customWidth="1"/>
    <col min="15878" max="15878" width="12.6640625" style="46" customWidth="1"/>
    <col min="15879" max="15885" width="0" style="46" hidden="1" customWidth="1"/>
    <col min="15886" max="15886" width="9.109375" style="46"/>
    <col min="15887" max="15887" width="0" style="46" hidden="1" customWidth="1"/>
    <col min="15888" max="16128" width="9.109375" style="46"/>
    <col min="16129" max="16129" width="9.88671875" style="46" customWidth="1"/>
    <col min="16130" max="16130" width="58.44140625" style="46" customWidth="1"/>
    <col min="16131" max="16131" width="15.109375" style="46" customWidth="1"/>
    <col min="16132" max="16132" width="15.88671875" style="46" customWidth="1"/>
    <col min="16133" max="16133" width="12.109375" style="46" customWidth="1"/>
    <col min="16134" max="16134" width="12.6640625" style="46" customWidth="1"/>
    <col min="16135" max="16141" width="0" style="46" hidden="1" customWidth="1"/>
    <col min="16142" max="16142" width="9.109375" style="46"/>
    <col min="16143" max="16143" width="0" style="46" hidden="1" customWidth="1"/>
    <col min="16144" max="16384" width="9.109375" style="46"/>
  </cols>
  <sheetData>
    <row r="1" spans="1:16" s="11" customFormat="1" ht="15.6" x14ac:dyDescent="0.3">
      <c r="A1" s="9"/>
      <c r="B1" s="9"/>
      <c r="C1" s="10" t="s">
        <v>186</v>
      </c>
      <c r="D1" s="10"/>
      <c r="E1" s="10"/>
      <c r="G1" s="12"/>
    </row>
    <row r="2" spans="1:16" s="11" customFormat="1" ht="18" x14ac:dyDescent="0.35">
      <c r="A2" s="9"/>
      <c r="B2" s="13"/>
      <c r="C2" s="14" t="s">
        <v>866</v>
      </c>
      <c r="D2" s="10"/>
      <c r="E2" s="10"/>
      <c r="G2" s="12"/>
    </row>
    <row r="3" spans="1:16" s="11" customFormat="1" ht="15.6" x14ac:dyDescent="0.3">
      <c r="A3" s="9"/>
      <c r="B3" s="9"/>
      <c r="C3" s="842" t="s">
        <v>1025</v>
      </c>
      <c r="D3" s="842"/>
      <c r="E3" s="842"/>
      <c r="G3" s="12"/>
    </row>
    <row r="4" spans="1:16" s="11" customFormat="1" ht="15.6" x14ac:dyDescent="0.2">
      <c r="A4" s="845" t="s">
        <v>784</v>
      </c>
      <c r="B4" s="845"/>
      <c r="C4" s="845"/>
      <c r="D4" s="845"/>
      <c r="E4" s="845"/>
      <c r="F4" s="845"/>
      <c r="G4" s="12"/>
    </row>
    <row r="5" spans="1:16" s="11" customFormat="1" ht="30.75" customHeight="1" x14ac:dyDescent="0.2">
      <c r="A5" s="846" t="s">
        <v>673</v>
      </c>
      <c r="B5" s="846"/>
      <c r="C5" s="846"/>
      <c r="D5" s="846"/>
      <c r="E5" s="846"/>
      <c r="F5" s="846"/>
      <c r="G5" s="12"/>
    </row>
    <row r="6" spans="1:16" s="11" customFormat="1" ht="17.25" customHeight="1" x14ac:dyDescent="0.2">
      <c r="A6" s="15"/>
      <c r="B6" s="16">
        <v>11503000000</v>
      </c>
      <c r="C6" s="15"/>
      <c r="D6" s="15"/>
      <c r="E6" s="15"/>
      <c r="F6" s="15"/>
      <c r="G6" s="12"/>
    </row>
    <row r="7" spans="1:16" s="11" customFormat="1" ht="31.5" customHeight="1" thickBot="1" x14ac:dyDescent="0.35">
      <c r="A7" s="15"/>
      <c r="B7" s="586" t="s">
        <v>2</v>
      </c>
      <c r="C7" s="15"/>
      <c r="D7" s="15"/>
      <c r="E7" s="15"/>
      <c r="F7" s="17" t="s">
        <v>188</v>
      </c>
      <c r="G7" s="12"/>
    </row>
    <row r="8" spans="1:16" s="11" customFormat="1" ht="12.75" customHeight="1" x14ac:dyDescent="0.2">
      <c r="A8" s="847" t="s">
        <v>189</v>
      </c>
      <c r="B8" s="849" t="s">
        <v>190</v>
      </c>
      <c r="C8" s="851" t="s">
        <v>10</v>
      </c>
      <c r="D8" s="849" t="s">
        <v>11</v>
      </c>
      <c r="E8" s="851" t="s">
        <v>12</v>
      </c>
      <c r="F8" s="854"/>
      <c r="G8" s="12"/>
    </row>
    <row r="9" spans="1:16" s="11" customFormat="1" ht="47.4" thickBot="1" x14ac:dyDescent="0.25">
      <c r="A9" s="848"/>
      <c r="B9" s="850"/>
      <c r="C9" s="852"/>
      <c r="D9" s="853"/>
      <c r="E9" s="18" t="s">
        <v>10</v>
      </c>
      <c r="F9" s="19" t="s">
        <v>14</v>
      </c>
      <c r="G9" s="12"/>
    </row>
    <row r="10" spans="1:16" s="11" customFormat="1" ht="17.25" customHeight="1" thickBot="1" x14ac:dyDescent="0.25">
      <c r="A10" s="20">
        <v>1</v>
      </c>
      <c r="B10" s="21">
        <v>2</v>
      </c>
      <c r="C10" s="22">
        <v>3</v>
      </c>
      <c r="D10" s="22">
        <v>4</v>
      </c>
      <c r="E10" s="22">
        <v>5</v>
      </c>
      <c r="F10" s="23">
        <v>6</v>
      </c>
      <c r="G10" s="12"/>
      <c r="P10" s="15"/>
    </row>
    <row r="11" spans="1:16" s="30" customFormat="1" ht="16.2" thickBot="1" x14ac:dyDescent="0.3">
      <c r="A11" s="24" t="s">
        <v>191</v>
      </c>
      <c r="B11" s="25" t="s">
        <v>192</v>
      </c>
      <c r="C11" s="26">
        <f>C12+C26+C32+C48+C21</f>
        <v>4000000</v>
      </c>
      <c r="D11" s="26">
        <f>D12+D26+D32+D48+D21</f>
        <v>4000000</v>
      </c>
      <c r="E11" s="26">
        <f>E48</f>
        <v>0</v>
      </c>
      <c r="F11" s="27"/>
      <c r="G11" s="28"/>
      <c r="H11" s="29"/>
    </row>
    <row r="12" spans="1:16" s="30" customFormat="1" ht="31.2" x14ac:dyDescent="0.25">
      <c r="A12" s="31" t="s">
        <v>193</v>
      </c>
      <c r="B12" s="32" t="s">
        <v>194</v>
      </c>
      <c r="C12" s="33">
        <f>C13+C19</f>
        <v>0</v>
      </c>
      <c r="D12" s="33">
        <f>D13+D19</f>
        <v>0</v>
      </c>
      <c r="E12" s="33">
        <f>E13</f>
        <v>0</v>
      </c>
      <c r="F12" s="34"/>
      <c r="G12" s="35"/>
    </row>
    <row r="13" spans="1:16" s="30" customFormat="1" ht="14.25" hidden="1" customHeight="1" x14ac:dyDescent="0.25">
      <c r="A13" s="36" t="s">
        <v>195</v>
      </c>
      <c r="B13" s="37" t="s">
        <v>196</v>
      </c>
      <c r="C13" s="38">
        <f>C14+C15+C16+C17+C18</f>
        <v>0</v>
      </c>
      <c r="D13" s="38">
        <f>D14+D15+D16+D17+D18</f>
        <v>0</v>
      </c>
      <c r="E13" s="38">
        <f>E14+E15+E16+E17+E18</f>
        <v>0</v>
      </c>
      <c r="F13" s="39"/>
      <c r="G13" s="35"/>
    </row>
    <row r="14" spans="1:16" ht="46.8" hidden="1" x14ac:dyDescent="0.25">
      <c r="A14" s="40" t="s">
        <v>197</v>
      </c>
      <c r="B14" s="41" t="s">
        <v>198</v>
      </c>
      <c r="C14" s="42">
        <f t="shared" ref="C14:C20" si="0">D14+E14</f>
        <v>0</v>
      </c>
      <c r="D14" s="43"/>
      <c r="E14" s="42">
        <v>0</v>
      </c>
      <c r="F14" s="44"/>
      <c r="G14" s="45"/>
    </row>
    <row r="15" spans="1:16" ht="78" hidden="1" x14ac:dyDescent="0.25">
      <c r="A15" s="40" t="s">
        <v>199</v>
      </c>
      <c r="B15" s="41" t="s">
        <v>200</v>
      </c>
      <c r="C15" s="42">
        <f t="shared" si="0"/>
        <v>0</v>
      </c>
      <c r="D15" s="42"/>
      <c r="E15" s="42">
        <v>0</v>
      </c>
      <c r="F15" s="44"/>
      <c r="G15" s="45"/>
    </row>
    <row r="16" spans="1:16" ht="47.25" hidden="1" customHeight="1" x14ac:dyDescent="0.25">
      <c r="A16" s="40" t="s">
        <v>201</v>
      </c>
      <c r="B16" s="41" t="s">
        <v>202</v>
      </c>
      <c r="C16" s="42">
        <f t="shared" si="0"/>
        <v>0</v>
      </c>
      <c r="D16" s="42"/>
      <c r="E16" s="42">
        <v>0</v>
      </c>
      <c r="F16" s="44"/>
      <c r="G16" s="45"/>
    </row>
    <row r="17" spans="1:7" ht="42" hidden="1" customHeight="1" x14ac:dyDescent="0.25">
      <c r="A17" s="40" t="s">
        <v>203</v>
      </c>
      <c r="B17" s="41" t="s">
        <v>204</v>
      </c>
      <c r="C17" s="42">
        <f t="shared" si="0"/>
        <v>0</v>
      </c>
      <c r="D17" s="42"/>
      <c r="E17" s="42">
        <v>0</v>
      </c>
      <c r="F17" s="44"/>
      <c r="G17" s="45"/>
    </row>
    <row r="18" spans="1:7" ht="64.5" hidden="1" customHeight="1" x14ac:dyDescent="0.25">
      <c r="A18" s="40" t="s">
        <v>205</v>
      </c>
      <c r="B18" s="41" t="s">
        <v>206</v>
      </c>
      <c r="C18" s="42">
        <f t="shared" si="0"/>
        <v>0</v>
      </c>
      <c r="D18" s="42"/>
      <c r="E18" s="42">
        <v>0</v>
      </c>
      <c r="F18" s="44"/>
      <c r="G18" s="45"/>
    </row>
    <row r="19" spans="1:7" s="30" customFormat="1" ht="36.75" hidden="1" customHeight="1" x14ac:dyDescent="0.25">
      <c r="A19" s="36">
        <v>11020000</v>
      </c>
      <c r="B19" s="37" t="s">
        <v>207</v>
      </c>
      <c r="C19" s="38">
        <f t="shared" si="0"/>
        <v>0</v>
      </c>
      <c r="D19" s="38">
        <f>D20</f>
        <v>0</v>
      </c>
      <c r="E19" s="38"/>
      <c r="F19" s="39"/>
      <c r="G19" s="35"/>
    </row>
    <row r="20" spans="1:7" ht="38.25" hidden="1" customHeight="1" x14ac:dyDescent="0.25">
      <c r="A20" s="40">
        <v>11020200</v>
      </c>
      <c r="B20" s="41" t="s">
        <v>208</v>
      </c>
      <c r="C20" s="42">
        <f t="shared" si="0"/>
        <v>0</v>
      </c>
      <c r="D20" s="42"/>
      <c r="E20" s="42"/>
      <c r="F20" s="44"/>
      <c r="G20" s="45"/>
    </row>
    <row r="21" spans="1:7" s="30" customFormat="1" ht="36" hidden="1" customHeight="1" x14ac:dyDescent="0.25">
      <c r="A21" s="36">
        <v>13000000</v>
      </c>
      <c r="B21" s="37" t="s">
        <v>209</v>
      </c>
      <c r="C21" s="38">
        <f>C22+C24</f>
        <v>0</v>
      </c>
      <c r="D21" s="38">
        <f>D22+D24</f>
        <v>0</v>
      </c>
      <c r="E21" s="38"/>
      <c r="F21" s="39"/>
      <c r="G21" s="35"/>
    </row>
    <row r="22" spans="1:7" s="30" customFormat="1" ht="27" hidden="1" customHeight="1" x14ac:dyDescent="0.25">
      <c r="A22" s="36">
        <v>13010000</v>
      </c>
      <c r="B22" s="37" t="s">
        <v>210</v>
      </c>
      <c r="C22" s="38">
        <f>C23</f>
        <v>0</v>
      </c>
      <c r="D22" s="38">
        <f>D23</f>
        <v>0</v>
      </c>
      <c r="E22" s="38"/>
      <c r="F22" s="39"/>
      <c r="G22" s="35"/>
    </row>
    <row r="23" spans="1:7" ht="66" hidden="1" customHeight="1" x14ac:dyDescent="0.25">
      <c r="A23" s="40">
        <v>13010200</v>
      </c>
      <c r="B23" s="41" t="s">
        <v>211</v>
      </c>
      <c r="C23" s="42">
        <f>D23+E23</f>
        <v>0</v>
      </c>
      <c r="D23" s="42">
        <v>0</v>
      </c>
      <c r="E23" s="42"/>
      <c r="F23" s="44"/>
      <c r="G23" s="45"/>
    </row>
    <row r="24" spans="1:7" s="30" customFormat="1" ht="30" hidden="1" customHeight="1" x14ac:dyDescent="0.25">
      <c r="A24" s="36">
        <v>13030000</v>
      </c>
      <c r="B24" s="37" t="s">
        <v>212</v>
      </c>
      <c r="C24" s="38">
        <f>C25</f>
        <v>0</v>
      </c>
      <c r="D24" s="38">
        <f>D25</f>
        <v>0</v>
      </c>
      <c r="E24" s="38"/>
      <c r="F24" s="39"/>
      <c r="G24" s="35"/>
    </row>
    <row r="25" spans="1:7" ht="49.5" hidden="1" customHeight="1" x14ac:dyDescent="0.25">
      <c r="A25" s="40">
        <v>13030100</v>
      </c>
      <c r="B25" s="41" t="s">
        <v>213</v>
      </c>
      <c r="C25" s="42">
        <f>D25+E25</f>
        <v>0</v>
      </c>
      <c r="D25" s="42"/>
      <c r="E25" s="42">
        <v>0</v>
      </c>
      <c r="F25" s="44"/>
      <c r="G25" s="45"/>
    </row>
    <row r="26" spans="1:7" s="30" customFormat="1" ht="14.25" hidden="1" customHeight="1" x14ac:dyDescent="0.25">
      <c r="A26" s="36" t="s">
        <v>214</v>
      </c>
      <c r="B26" s="37" t="s">
        <v>215</v>
      </c>
      <c r="C26" s="38">
        <f>C27+C29+C31</f>
        <v>0</v>
      </c>
      <c r="D26" s="38">
        <f>D27+D29+D31</f>
        <v>0</v>
      </c>
      <c r="E26" s="38">
        <f>E27+E29+E31</f>
        <v>0</v>
      </c>
      <c r="F26" s="39"/>
      <c r="G26" s="35"/>
    </row>
    <row r="27" spans="1:7" s="30" customFormat="1" ht="31.2" hidden="1" x14ac:dyDescent="0.25">
      <c r="A27" s="36" t="s">
        <v>216</v>
      </c>
      <c r="B27" s="37" t="s">
        <v>217</v>
      </c>
      <c r="C27" s="38">
        <f>C28</f>
        <v>0</v>
      </c>
      <c r="D27" s="38">
        <f>D28</f>
        <v>0</v>
      </c>
      <c r="E27" s="38">
        <f>E28</f>
        <v>0</v>
      </c>
      <c r="F27" s="39"/>
      <c r="G27" s="35"/>
    </row>
    <row r="28" spans="1:7" ht="14.25" hidden="1" customHeight="1" x14ac:dyDescent="0.25">
      <c r="A28" s="40" t="s">
        <v>218</v>
      </c>
      <c r="B28" s="41" t="s">
        <v>219</v>
      </c>
      <c r="C28" s="42">
        <f>D28+E28</f>
        <v>0</v>
      </c>
      <c r="D28" s="42"/>
      <c r="E28" s="42">
        <v>0</v>
      </c>
      <c r="F28" s="44"/>
      <c r="G28" s="45"/>
    </row>
    <row r="29" spans="1:7" s="30" customFormat="1" ht="31.2" hidden="1" x14ac:dyDescent="0.25">
      <c r="A29" s="36" t="s">
        <v>220</v>
      </c>
      <c r="B29" s="37" t="s">
        <v>221</v>
      </c>
      <c r="C29" s="38">
        <f>C30</f>
        <v>0</v>
      </c>
      <c r="D29" s="38">
        <f>D30</f>
        <v>0</v>
      </c>
      <c r="E29" s="38">
        <f>E30</f>
        <v>0</v>
      </c>
      <c r="F29" s="39"/>
      <c r="G29" s="35"/>
    </row>
    <row r="30" spans="1:7" ht="14.25" hidden="1" customHeight="1" x14ac:dyDescent="0.25">
      <c r="A30" s="40" t="s">
        <v>222</v>
      </c>
      <c r="B30" s="41" t="s">
        <v>219</v>
      </c>
      <c r="C30" s="42">
        <f>D30+E30</f>
        <v>0</v>
      </c>
      <c r="D30" s="42"/>
      <c r="E30" s="42">
        <v>0</v>
      </c>
      <c r="F30" s="44"/>
      <c r="G30" s="45"/>
    </row>
    <row r="31" spans="1:7" ht="31.2" hidden="1" x14ac:dyDescent="0.25">
      <c r="A31" s="40" t="s">
        <v>223</v>
      </c>
      <c r="B31" s="41" t="s">
        <v>224</v>
      </c>
      <c r="C31" s="42">
        <f>D31+E31</f>
        <v>0</v>
      </c>
      <c r="D31" s="42"/>
      <c r="E31" s="42">
        <v>0</v>
      </c>
      <c r="F31" s="44"/>
      <c r="G31" s="45"/>
    </row>
    <row r="32" spans="1:7" s="30" customFormat="1" ht="14.25" customHeight="1" x14ac:dyDescent="0.25">
      <c r="A32" s="36" t="s">
        <v>225</v>
      </c>
      <c r="B32" s="37" t="s">
        <v>226</v>
      </c>
      <c r="C32" s="38">
        <f>C33+C44</f>
        <v>4000000</v>
      </c>
      <c r="D32" s="38">
        <f>D33+D44</f>
        <v>4000000</v>
      </c>
      <c r="E32" s="38">
        <f>E33+E44</f>
        <v>0</v>
      </c>
      <c r="F32" s="39"/>
      <c r="G32" s="35"/>
    </row>
    <row r="33" spans="1:7" s="30" customFormat="1" ht="14.25" customHeight="1" x14ac:dyDescent="0.25">
      <c r="A33" s="36" t="s">
        <v>227</v>
      </c>
      <c r="B33" s="37" t="s">
        <v>228</v>
      </c>
      <c r="C33" s="38">
        <f>C34+C35+C36+C37+C38+C39+C40+C41+C42+C43</f>
        <v>4000000</v>
      </c>
      <c r="D33" s="38">
        <f>D34+D35+D36+D37+D38+D39+D40+D41+D42+D43</f>
        <v>4000000</v>
      </c>
      <c r="E33" s="38">
        <f>E34+E35+E36+E37+E38+E39+E40+E41+E42+E43</f>
        <v>0</v>
      </c>
      <c r="F33" s="39"/>
      <c r="G33" s="35"/>
    </row>
    <row r="34" spans="1:7" ht="46.8" hidden="1" x14ac:dyDescent="0.25">
      <c r="A34" s="40" t="s">
        <v>229</v>
      </c>
      <c r="B34" s="41" t="s">
        <v>230</v>
      </c>
      <c r="C34" s="42">
        <f t="shared" ref="C34:C47" si="1">D34+E34</f>
        <v>0</v>
      </c>
      <c r="D34" s="42"/>
      <c r="E34" s="42">
        <v>0</v>
      </c>
      <c r="F34" s="44"/>
      <c r="G34" s="45"/>
    </row>
    <row r="35" spans="1:7" ht="46.8" hidden="1" x14ac:dyDescent="0.25">
      <c r="A35" s="40" t="s">
        <v>231</v>
      </c>
      <c r="B35" s="41" t="s">
        <v>232</v>
      </c>
      <c r="C35" s="42">
        <f t="shared" si="1"/>
        <v>0</v>
      </c>
      <c r="D35" s="42"/>
      <c r="E35" s="42">
        <v>0</v>
      </c>
      <c r="F35" s="44"/>
      <c r="G35" s="45"/>
    </row>
    <row r="36" spans="1:7" ht="46.8" hidden="1" x14ac:dyDescent="0.25">
      <c r="A36" s="40" t="s">
        <v>233</v>
      </c>
      <c r="B36" s="41" t="s">
        <v>234</v>
      </c>
      <c r="C36" s="42">
        <f t="shared" si="1"/>
        <v>0</v>
      </c>
      <c r="D36" s="42"/>
      <c r="E36" s="42">
        <v>0</v>
      </c>
      <c r="F36" s="44"/>
      <c r="G36" s="45"/>
    </row>
    <row r="37" spans="1:7" ht="46.8" hidden="1" x14ac:dyDescent="0.25">
      <c r="A37" s="40" t="s">
        <v>235</v>
      </c>
      <c r="B37" s="41" t="s">
        <v>236</v>
      </c>
      <c r="C37" s="42">
        <f t="shared" si="1"/>
        <v>0</v>
      </c>
      <c r="D37" s="42"/>
      <c r="E37" s="42">
        <v>0</v>
      </c>
      <c r="F37" s="44"/>
      <c r="G37" s="45"/>
    </row>
    <row r="38" spans="1:7" ht="14.25" hidden="1" customHeight="1" x14ac:dyDescent="0.25">
      <c r="A38" s="40" t="s">
        <v>237</v>
      </c>
      <c r="B38" s="41" t="s">
        <v>238</v>
      </c>
      <c r="C38" s="42">
        <f t="shared" si="1"/>
        <v>0</v>
      </c>
      <c r="D38" s="42"/>
      <c r="E38" s="42">
        <v>0</v>
      </c>
      <c r="F38" s="44"/>
      <c r="G38" s="45"/>
    </row>
    <row r="39" spans="1:7" ht="14.25" customHeight="1" x14ac:dyDescent="0.25">
      <c r="A39" s="40" t="s">
        <v>239</v>
      </c>
      <c r="B39" s="41" t="s">
        <v>240</v>
      </c>
      <c r="C39" s="42">
        <f t="shared" si="1"/>
        <v>4000000</v>
      </c>
      <c r="D39" s="42">
        <v>4000000</v>
      </c>
      <c r="E39" s="42">
        <v>0</v>
      </c>
      <c r="F39" s="44"/>
      <c r="G39" s="45"/>
    </row>
    <row r="40" spans="1:7" ht="14.25" hidden="1" customHeight="1" x14ac:dyDescent="0.25">
      <c r="A40" s="40" t="s">
        <v>241</v>
      </c>
      <c r="B40" s="41" t="s">
        <v>242</v>
      </c>
      <c r="C40" s="42">
        <f t="shared" si="1"/>
        <v>0</v>
      </c>
      <c r="D40" s="42"/>
      <c r="E40" s="42">
        <v>0</v>
      </c>
      <c r="F40" s="44"/>
      <c r="G40" s="45"/>
    </row>
    <row r="41" spans="1:7" ht="14.25" hidden="1" customHeight="1" x14ac:dyDescent="0.25">
      <c r="A41" s="40" t="s">
        <v>243</v>
      </c>
      <c r="B41" s="41" t="s">
        <v>244</v>
      </c>
      <c r="C41" s="42">
        <f t="shared" si="1"/>
        <v>0</v>
      </c>
      <c r="D41" s="42"/>
      <c r="E41" s="42">
        <v>0</v>
      </c>
      <c r="F41" s="44"/>
      <c r="G41" s="45"/>
    </row>
    <row r="42" spans="1:7" ht="14.25" hidden="1" customHeight="1" x14ac:dyDescent="0.25">
      <c r="A42" s="40" t="s">
        <v>245</v>
      </c>
      <c r="B42" s="41" t="s">
        <v>246</v>
      </c>
      <c r="C42" s="42">
        <f t="shared" si="1"/>
        <v>0</v>
      </c>
      <c r="D42" s="42"/>
      <c r="E42" s="42">
        <v>0</v>
      </c>
      <c r="F42" s="44"/>
      <c r="G42" s="45"/>
    </row>
    <row r="43" spans="1:7" ht="14.25" hidden="1" customHeight="1" x14ac:dyDescent="0.25">
      <c r="A43" s="40" t="s">
        <v>247</v>
      </c>
      <c r="B43" s="41" t="s">
        <v>248</v>
      </c>
      <c r="C43" s="42">
        <f t="shared" si="1"/>
        <v>0</v>
      </c>
      <c r="D43" s="42"/>
      <c r="E43" s="42">
        <v>0</v>
      </c>
      <c r="F43" s="44"/>
      <c r="G43" s="45"/>
    </row>
    <row r="44" spans="1:7" s="30" customFormat="1" ht="14.25" hidden="1" customHeight="1" x14ac:dyDescent="0.25">
      <c r="A44" s="36" t="s">
        <v>249</v>
      </c>
      <c r="B44" s="37" t="s">
        <v>250</v>
      </c>
      <c r="C44" s="38">
        <f>C45+C46+C47</f>
        <v>0</v>
      </c>
      <c r="D44" s="38">
        <f>D45+D46+D47</f>
        <v>0</v>
      </c>
      <c r="E44" s="38">
        <f>E45+E46+E47</f>
        <v>0</v>
      </c>
      <c r="F44" s="39"/>
      <c r="G44" s="35"/>
    </row>
    <row r="45" spans="1:7" ht="14.25" hidden="1" customHeight="1" x14ac:dyDescent="0.25">
      <c r="A45" s="40" t="s">
        <v>251</v>
      </c>
      <c r="B45" s="41" t="s">
        <v>252</v>
      </c>
      <c r="C45" s="42">
        <f t="shared" si="1"/>
        <v>0</v>
      </c>
      <c r="D45" s="42"/>
      <c r="E45" s="42">
        <v>0</v>
      </c>
      <c r="F45" s="44"/>
      <c r="G45" s="45"/>
    </row>
    <row r="46" spans="1:7" ht="14.25" hidden="1" customHeight="1" x14ac:dyDescent="0.25">
      <c r="A46" s="40" t="s">
        <v>253</v>
      </c>
      <c r="B46" s="41" t="s">
        <v>254</v>
      </c>
      <c r="C46" s="42">
        <f t="shared" si="1"/>
        <v>0</v>
      </c>
      <c r="D46" s="42"/>
      <c r="E46" s="42">
        <v>0</v>
      </c>
      <c r="F46" s="44"/>
      <c r="G46" s="45"/>
    </row>
    <row r="47" spans="1:7" ht="62.4" hidden="1" x14ac:dyDescent="0.25">
      <c r="A47" s="40" t="s">
        <v>255</v>
      </c>
      <c r="B47" s="41" t="s">
        <v>256</v>
      </c>
      <c r="C47" s="42">
        <f t="shared" si="1"/>
        <v>0</v>
      </c>
      <c r="D47" s="42"/>
      <c r="E47" s="42">
        <v>0</v>
      </c>
      <c r="F47" s="44"/>
      <c r="G47" s="45"/>
    </row>
    <row r="48" spans="1:7" s="30" customFormat="1" ht="14.25" hidden="1" customHeight="1" x14ac:dyDescent="0.25">
      <c r="A48" s="36" t="s">
        <v>257</v>
      </c>
      <c r="B48" s="37" t="s">
        <v>258</v>
      </c>
      <c r="C48" s="38">
        <f>C49</f>
        <v>0</v>
      </c>
      <c r="D48" s="38">
        <f>D49</f>
        <v>0</v>
      </c>
      <c r="E48" s="38">
        <f>E49</f>
        <v>0</v>
      </c>
      <c r="F48" s="39"/>
      <c r="G48" s="35"/>
    </row>
    <row r="49" spans="1:7" s="30" customFormat="1" ht="14.25" hidden="1" customHeight="1" x14ac:dyDescent="0.25">
      <c r="A49" s="36" t="s">
        <v>259</v>
      </c>
      <c r="B49" s="37" t="s">
        <v>260</v>
      </c>
      <c r="C49" s="38">
        <f>C50+C51+C52</f>
        <v>0</v>
      </c>
      <c r="D49" s="38">
        <f>D50+D51+D52</f>
        <v>0</v>
      </c>
      <c r="E49" s="38">
        <f>E50+E51+E52</f>
        <v>0</v>
      </c>
      <c r="F49" s="39"/>
      <c r="G49" s="35"/>
    </row>
    <row r="50" spans="1:7" ht="62.4" hidden="1" x14ac:dyDescent="0.25">
      <c r="A50" s="40" t="s">
        <v>261</v>
      </c>
      <c r="B50" s="41" t="s">
        <v>262</v>
      </c>
      <c r="C50" s="42">
        <f>D50+E50</f>
        <v>0</v>
      </c>
      <c r="D50" s="42">
        <v>0</v>
      </c>
      <c r="E50" s="42"/>
      <c r="F50" s="44"/>
      <c r="G50" s="45"/>
    </row>
    <row r="51" spans="1:7" ht="31.2" hidden="1" x14ac:dyDescent="0.25">
      <c r="A51" s="40" t="s">
        <v>263</v>
      </c>
      <c r="B51" s="41" t="s">
        <v>264</v>
      </c>
      <c r="C51" s="42">
        <f>D51+E51</f>
        <v>0</v>
      </c>
      <c r="D51" s="42">
        <v>0</v>
      </c>
      <c r="E51" s="42"/>
      <c r="F51" s="44"/>
      <c r="G51" s="45"/>
    </row>
    <row r="52" spans="1:7" ht="56.25" hidden="1" customHeight="1" thickBot="1" x14ac:dyDescent="0.3">
      <c r="A52" s="47" t="s">
        <v>265</v>
      </c>
      <c r="B52" s="48" t="s">
        <v>266</v>
      </c>
      <c r="C52" s="49">
        <f>D52+E52</f>
        <v>0</v>
      </c>
      <c r="D52" s="49">
        <v>0</v>
      </c>
      <c r="E52" s="49"/>
      <c r="F52" s="50"/>
      <c r="G52" s="45"/>
    </row>
    <row r="53" spans="1:7" s="30" customFormat="1" ht="14.25" hidden="1" customHeight="1" thickBot="1" x14ac:dyDescent="0.3">
      <c r="A53" s="24" t="s">
        <v>267</v>
      </c>
      <c r="B53" s="25" t="s">
        <v>268</v>
      </c>
      <c r="C53" s="26">
        <f>C54+C58+C66</f>
        <v>0</v>
      </c>
      <c r="D53" s="26">
        <f>D54+D58+D66</f>
        <v>0</v>
      </c>
      <c r="E53" s="26">
        <f>E54+E58+E66</f>
        <v>0</v>
      </c>
      <c r="F53" s="27">
        <f>F54+F58+F66</f>
        <v>0</v>
      </c>
      <c r="G53" s="35"/>
    </row>
    <row r="54" spans="1:7" s="30" customFormat="1" ht="14.25" hidden="1" customHeight="1" x14ac:dyDescent="0.25">
      <c r="A54" s="31" t="s">
        <v>269</v>
      </c>
      <c r="B54" s="32" t="s">
        <v>270</v>
      </c>
      <c r="C54" s="33">
        <f>C55</f>
        <v>0</v>
      </c>
      <c r="D54" s="33">
        <f>D55</f>
        <v>0</v>
      </c>
      <c r="E54" s="33">
        <f>E55</f>
        <v>0</v>
      </c>
      <c r="F54" s="34"/>
      <c r="G54" s="35"/>
    </row>
    <row r="55" spans="1:7" s="30" customFormat="1" ht="14.25" hidden="1" customHeight="1" x14ac:dyDescent="0.25">
      <c r="A55" s="36" t="s">
        <v>271</v>
      </c>
      <c r="B55" s="37" t="s">
        <v>272</v>
      </c>
      <c r="C55" s="38">
        <f>C56+C57</f>
        <v>0</v>
      </c>
      <c r="D55" s="38">
        <f>D56+D57</f>
        <v>0</v>
      </c>
      <c r="E55" s="38">
        <f>E56+E57</f>
        <v>0</v>
      </c>
      <c r="F55" s="39"/>
      <c r="G55" s="35"/>
    </row>
    <row r="56" spans="1:7" ht="14.25" hidden="1" customHeight="1" x14ac:dyDescent="0.25">
      <c r="A56" s="40" t="s">
        <v>273</v>
      </c>
      <c r="B56" s="41" t="s">
        <v>274</v>
      </c>
      <c r="C56" s="42">
        <f>D56+E56</f>
        <v>0</v>
      </c>
      <c r="D56" s="42"/>
      <c r="E56" s="42">
        <v>0</v>
      </c>
      <c r="F56" s="44"/>
      <c r="G56" s="45"/>
    </row>
    <row r="57" spans="1:7" ht="46.8" hidden="1" x14ac:dyDescent="0.25">
      <c r="A57" s="40" t="s">
        <v>275</v>
      </c>
      <c r="B57" s="41" t="s">
        <v>276</v>
      </c>
      <c r="C57" s="42">
        <f>D57+E57</f>
        <v>0</v>
      </c>
      <c r="D57" s="42"/>
      <c r="E57" s="42">
        <v>0</v>
      </c>
      <c r="F57" s="44"/>
      <c r="G57" s="45"/>
    </row>
    <row r="58" spans="1:7" s="30" customFormat="1" ht="31.2" hidden="1" x14ac:dyDescent="0.25">
      <c r="A58" s="36" t="s">
        <v>277</v>
      </c>
      <c r="B58" s="37" t="s">
        <v>278</v>
      </c>
      <c r="C58" s="38">
        <f>C59+C63</f>
        <v>0</v>
      </c>
      <c r="D58" s="38">
        <f>D59+D63</f>
        <v>0</v>
      </c>
      <c r="E58" s="38">
        <f>E59+E63</f>
        <v>0</v>
      </c>
      <c r="F58" s="39"/>
      <c r="G58" s="35"/>
    </row>
    <row r="59" spans="1:7" s="30" customFormat="1" ht="14.25" hidden="1" customHeight="1" x14ac:dyDescent="0.25">
      <c r="A59" s="36" t="s">
        <v>279</v>
      </c>
      <c r="B59" s="37" t="s">
        <v>280</v>
      </c>
      <c r="C59" s="38">
        <f>C60+C61+C62</f>
        <v>0</v>
      </c>
      <c r="D59" s="38">
        <f>D60+D61+D62</f>
        <v>0</v>
      </c>
      <c r="E59" s="38">
        <f>E60+E61+E62</f>
        <v>0</v>
      </c>
      <c r="F59" s="39"/>
      <c r="G59" s="35"/>
    </row>
    <row r="60" spans="1:7" ht="46.8" hidden="1" x14ac:dyDescent="0.25">
      <c r="A60" s="40" t="s">
        <v>281</v>
      </c>
      <c r="B60" s="41" t="s">
        <v>282</v>
      </c>
      <c r="C60" s="42">
        <f t="shared" ref="C60:C71" si="2">D60+E60</f>
        <v>0</v>
      </c>
      <c r="D60" s="42"/>
      <c r="E60" s="42">
        <v>0</v>
      </c>
      <c r="F60" s="44"/>
      <c r="G60" s="45"/>
    </row>
    <row r="61" spans="1:7" ht="14.25" hidden="1" customHeight="1" x14ac:dyDescent="0.25">
      <c r="A61" s="40" t="s">
        <v>283</v>
      </c>
      <c r="B61" s="41" t="s">
        <v>284</v>
      </c>
      <c r="C61" s="42">
        <f t="shared" si="2"/>
        <v>0</v>
      </c>
      <c r="D61" s="42"/>
      <c r="E61" s="42">
        <v>0</v>
      </c>
      <c r="F61" s="44"/>
      <c r="G61" s="45"/>
    </row>
    <row r="62" spans="1:7" ht="31.2" hidden="1" x14ac:dyDescent="0.25">
      <c r="A62" s="40" t="s">
        <v>285</v>
      </c>
      <c r="B62" s="41" t="s">
        <v>286</v>
      </c>
      <c r="C62" s="42">
        <f t="shared" si="2"/>
        <v>0</v>
      </c>
      <c r="D62" s="42"/>
      <c r="E62" s="42">
        <v>0</v>
      </c>
      <c r="F62" s="44"/>
      <c r="G62" s="45"/>
    </row>
    <row r="63" spans="1:7" s="30" customFormat="1" ht="14.25" hidden="1" customHeight="1" x14ac:dyDescent="0.25">
      <c r="A63" s="36" t="s">
        <v>287</v>
      </c>
      <c r="B63" s="37" t="s">
        <v>288</v>
      </c>
      <c r="C63" s="38">
        <f>C64+C65</f>
        <v>0</v>
      </c>
      <c r="D63" s="38">
        <f>D64+D65</f>
        <v>0</v>
      </c>
      <c r="E63" s="38">
        <f>E64+E65</f>
        <v>0</v>
      </c>
      <c r="F63" s="39"/>
      <c r="G63" s="35"/>
    </row>
    <row r="64" spans="1:7" ht="46.8" hidden="1" x14ac:dyDescent="0.25">
      <c r="A64" s="40" t="s">
        <v>289</v>
      </c>
      <c r="B64" s="41" t="s">
        <v>290</v>
      </c>
      <c r="C64" s="42">
        <f t="shared" si="2"/>
        <v>0</v>
      </c>
      <c r="D64" s="42"/>
      <c r="E64" s="42">
        <v>0</v>
      </c>
      <c r="F64" s="44"/>
      <c r="G64" s="45"/>
    </row>
    <row r="65" spans="1:12" ht="14.25" hidden="1" customHeight="1" x14ac:dyDescent="0.25">
      <c r="A65" s="40" t="s">
        <v>291</v>
      </c>
      <c r="B65" s="41" t="s">
        <v>292</v>
      </c>
      <c r="C65" s="42">
        <f t="shared" si="2"/>
        <v>0</v>
      </c>
      <c r="D65" s="42"/>
      <c r="E65" s="42">
        <v>0</v>
      </c>
      <c r="F65" s="44"/>
      <c r="G65" s="45"/>
    </row>
    <row r="66" spans="1:12" s="30" customFormat="1" ht="14.25" hidden="1" customHeight="1" x14ac:dyDescent="0.25">
      <c r="A66" s="36" t="s">
        <v>293</v>
      </c>
      <c r="B66" s="37" t="s">
        <v>294</v>
      </c>
      <c r="C66" s="42">
        <f t="shared" si="2"/>
        <v>0</v>
      </c>
      <c r="D66" s="38">
        <f>D67</f>
        <v>0</v>
      </c>
      <c r="E66" s="38">
        <f>E67</f>
        <v>0</v>
      </c>
      <c r="F66" s="39"/>
      <c r="G66" s="35"/>
      <c r="H66" s="30">
        <v>250101</v>
      </c>
      <c r="I66" s="30">
        <v>250103</v>
      </c>
      <c r="J66" s="30" t="s">
        <v>295</v>
      </c>
    </row>
    <row r="67" spans="1:12" s="30" customFormat="1" ht="31.2" hidden="1" x14ac:dyDescent="0.25">
      <c r="A67" s="36" t="s">
        <v>296</v>
      </c>
      <c r="B67" s="37" t="s">
        <v>297</v>
      </c>
      <c r="C67" s="42">
        <f t="shared" si="2"/>
        <v>0</v>
      </c>
      <c r="D67" s="38">
        <f>D68+D69</f>
        <v>0</v>
      </c>
      <c r="E67" s="38">
        <f>E68+E69</f>
        <v>0</v>
      </c>
      <c r="F67" s="39"/>
      <c r="G67" s="45" t="s">
        <v>298</v>
      </c>
      <c r="H67" s="46">
        <f>116523+12800+1200</f>
        <v>130523</v>
      </c>
      <c r="I67" s="46"/>
      <c r="J67" s="46">
        <f>H67+I67</f>
        <v>130523</v>
      </c>
    </row>
    <row r="68" spans="1:12" ht="31.2" hidden="1" x14ac:dyDescent="0.25">
      <c r="A68" s="40" t="s">
        <v>299</v>
      </c>
      <c r="B68" s="41" t="s">
        <v>300</v>
      </c>
      <c r="C68" s="42">
        <f t="shared" si="2"/>
        <v>0</v>
      </c>
      <c r="D68" s="51">
        <v>0</v>
      </c>
      <c r="E68" s="51"/>
      <c r="F68" s="44"/>
      <c r="G68" s="45" t="s">
        <v>301</v>
      </c>
      <c r="H68" s="46">
        <v>60000</v>
      </c>
      <c r="J68" s="46">
        <f>H68+I68</f>
        <v>60000</v>
      </c>
      <c r="L68" s="46" t="s">
        <v>302</v>
      </c>
    </row>
    <row r="69" spans="1:12" ht="51" hidden="1" customHeight="1" thickBot="1" x14ac:dyDescent="0.3">
      <c r="A69" s="47" t="s">
        <v>303</v>
      </c>
      <c r="B69" s="48" t="s">
        <v>304</v>
      </c>
      <c r="C69" s="49">
        <f t="shared" si="2"/>
        <v>0</v>
      </c>
      <c r="D69" s="52">
        <v>0</v>
      </c>
      <c r="E69" s="49"/>
      <c r="F69" s="50"/>
      <c r="G69" s="35" t="s">
        <v>305</v>
      </c>
      <c r="H69" s="30">
        <v>1238870</v>
      </c>
      <c r="I69" s="30">
        <v>34104</v>
      </c>
      <c r="J69" s="46">
        <f>H69+I69</f>
        <v>1272974</v>
      </c>
      <c r="L69" s="46" t="s">
        <v>306</v>
      </c>
    </row>
    <row r="70" spans="1:12" s="30" customFormat="1" ht="14.25" hidden="1" customHeight="1" thickBot="1" x14ac:dyDescent="0.3">
      <c r="A70" s="24" t="s">
        <v>307</v>
      </c>
      <c r="B70" s="25" t="s">
        <v>308</v>
      </c>
      <c r="C70" s="53">
        <f t="shared" si="2"/>
        <v>0</v>
      </c>
      <c r="D70" s="26">
        <f>D71+D74</f>
        <v>0</v>
      </c>
      <c r="E70" s="26">
        <f>E71+E74</f>
        <v>0</v>
      </c>
      <c r="F70" s="27">
        <f>F71+F74</f>
        <v>0</v>
      </c>
      <c r="G70" s="35" t="s">
        <v>295</v>
      </c>
      <c r="H70" s="30">
        <f>SUM(H67:H69)</f>
        <v>1429393</v>
      </c>
      <c r="I70" s="30">
        <f>SUM(I67:I69)</f>
        <v>34104</v>
      </c>
      <c r="J70" s="30">
        <f>SUM(J67:J69)</f>
        <v>1463497</v>
      </c>
    </row>
    <row r="71" spans="1:12" s="30" customFormat="1" ht="14.25" hidden="1" customHeight="1" x14ac:dyDescent="0.25">
      <c r="A71" s="31" t="s">
        <v>309</v>
      </c>
      <c r="B71" s="32" t="s">
        <v>310</v>
      </c>
      <c r="C71" s="54">
        <f t="shared" si="2"/>
        <v>0</v>
      </c>
      <c r="D71" s="33">
        <f t="shared" ref="D71:F72" si="3">D72</f>
        <v>0</v>
      </c>
      <c r="E71" s="33">
        <f t="shared" si="3"/>
        <v>0</v>
      </c>
      <c r="F71" s="34">
        <f t="shared" si="3"/>
        <v>0</v>
      </c>
      <c r="G71" s="35"/>
    </row>
    <row r="72" spans="1:12" s="30" customFormat="1" ht="78" hidden="1" x14ac:dyDescent="0.25">
      <c r="A72" s="36" t="s">
        <v>311</v>
      </c>
      <c r="B72" s="37" t="s">
        <v>312</v>
      </c>
      <c r="C72" s="38">
        <f>C73</f>
        <v>0</v>
      </c>
      <c r="D72" s="38">
        <f t="shared" si="3"/>
        <v>0</v>
      </c>
      <c r="E72" s="38">
        <f t="shared" si="3"/>
        <v>0</v>
      </c>
      <c r="F72" s="39">
        <f t="shared" si="3"/>
        <v>0</v>
      </c>
      <c r="G72" s="35"/>
    </row>
    <row r="73" spans="1:12" ht="61.5" hidden="1" customHeight="1" x14ac:dyDescent="0.25">
      <c r="A73" s="40" t="s">
        <v>313</v>
      </c>
      <c r="B73" s="41" t="s">
        <v>314</v>
      </c>
      <c r="C73" s="42">
        <f>D73+E73</f>
        <v>0</v>
      </c>
      <c r="D73" s="42"/>
      <c r="E73" s="42">
        <v>0</v>
      </c>
      <c r="F73" s="44"/>
      <c r="G73" s="45"/>
    </row>
    <row r="74" spans="1:12" s="30" customFormat="1" ht="14.25" hidden="1" customHeight="1" x14ac:dyDescent="0.25">
      <c r="A74" s="36" t="s">
        <v>315</v>
      </c>
      <c r="B74" s="37" t="s">
        <v>316</v>
      </c>
      <c r="C74" s="38">
        <f>C75</f>
        <v>0</v>
      </c>
      <c r="D74" s="38">
        <f t="shared" ref="D74:F75" si="4">D75</f>
        <v>0</v>
      </c>
      <c r="E74" s="38">
        <f t="shared" si="4"/>
        <v>0</v>
      </c>
      <c r="F74" s="39">
        <f t="shared" si="4"/>
        <v>0</v>
      </c>
      <c r="G74" s="35"/>
    </row>
    <row r="75" spans="1:12" s="30" customFormat="1" ht="17.25" hidden="1" customHeight="1" x14ac:dyDescent="0.25">
      <c r="A75" s="36" t="s">
        <v>317</v>
      </c>
      <c r="B75" s="37" t="s">
        <v>318</v>
      </c>
      <c r="C75" s="38">
        <f>C76</f>
        <v>0</v>
      </c>
      <c r="D75" s="38">
        <f t="shared" si="4"/>
        <v>0</v>
      </c>
      <c r="E75" s="38">
        <f t="shared" si="4"/>
        <v>0</v>
      </c>
      <c r="F75" s="39">
        <f t="shared" si="4"/>
        <v>0</v>
      </c>
      <c r="G75" s="35"/>
    </row>
    <row r="76" spans="1:12" ht="78" hidden="1" x14ac:dyDescent="0.25">
      <c r="A76" s="40" t="s">
        <v>319</v>
      </c>
      <c r="B76" s="41" t="s">
        <v>320</v>
      </c>
      <c r="C76" s="42">
        <f>D76+E76</f>
        <v>0</v>
      </c>
      <c r="D76" s="42">
        <v>0</v>
      </c>
      <c r="E76" s="51"/>
      <c r="F76" s="55"/>
      <c r="G76" s="45"/>
    </row>
    <row r="77" spans="1:12" ht="15.6" x14ac:dyDescent="0.25">
      <c r="A77" s="47"/>
      <c r="B77" s="56" t="s">
        <v>321</v>
      </c>
      <c r="C77" s="57">
        <f>C11+C53+C70</f>
        <v>4000000</v>
      </c>
      <c r="D77" s="57">
        <f>D11+D53+D70</f>
        <v>4000000</v>
      </c>
      <c r="E77" s="57">
        <f>E11+E53+E70</f>
        <v>0</v>
      </c>
      <c r="F77" s="58">
        <f>F11+F53+F70</f>
        <v>0</v>
      </c>
      <c r="G77" s="45"/>
    </row>
    <row r="78" spans="1:12" s="64" customFormat="1" ht="14.25" hidden="1" customHeight="1" thickBot="1" x14ac:dyDescent="0.3">
      <c r="A78" s="59" t="s">
        <v>322</v>
      </c>
      <c r="B78" s="60" t="s">
        <v>323</v>
      </c>
      <c r="C78" s="61">
        <f>C79</f>
        <v>0</v>
      </c>
      <c r="D78" s="61">
        <f>D79</f>
        <v>0</v>
      </c>
      <c r="E78" s="61">
        <f>E79</f>
        <v>0</v>
      </c>
      <c r="F78" s="62"/>
      <c r="G78" s="63"/>
    </row>
    <row r="79" spans="1:12" s="64" customFormat="1" ht="18.75" hidden="1" customHeight="1" x14ac:dyDescent="0.25">
      <c r="A79" s="65" t="s">
        <v>324</v>
      </c>
      <c r="B79" s="66" t="s">
        <v>325</v>
      </c>
      <c r="C79" s="67">
        <f>C80+C85+C87</f>
        <v>0</v>
      </c>
      <c r="D79" s="67">
        <f>D80+D85+D87</f>
        <v>0</v>
      </c>
      <c r="E79" s="67">
        <f>E80+E85+E87</f>
        <v>0</v>
      </c>
      <c r="F79" s="68"/>
      <c r="G79" s="69"/>
    </row>
    <row r="80" spans="1:12" s="64" customFormat="1" ht="15.6" hidden="1" x14ac:dyDescent="0.25">
      <c r="A80" s="70" t="s">
        <v>326</v>
      </c>
      <c r="B80" s="71" t="s">
        <v>327</v>
      </c>
      <c r="C80" s="72">
        <f>C82+C83+C84</f>
        <v>0</v>
      </c>
      <c r="D80" s="72">
        <f>D82+D83+D84</f>
        <v>0</v>
      </c>
      <c r="E80" s="72">
        <f>E82+E83+E84</f>
        <v>0</v>
      </c>
      <c r="F80" s="72">
        <f>F82+F83+F84</f>
        <v>0</v>
      </c>
      <c r="G80" s="69"/>
    </row>
    <row r="81" spans="1:15" s="64" customFormat="1" ht="46.8" hidden="1" x14ac:dyDescent="0.25">
      <c r="A81" s="74">
        <v>41033700</v>
      </c>
      <c r="B81" s="75" t="s">
        <v>328</v>
      </c>
      <c r="C81" s="42">
        <f t="shared" ref="C81:C95" si="5">D81+E81</f>
        <v>0</v>
      </c>
      <c r="D81" s="76"/>
      <c r="E81" s="72"/>
      <c r="F81" s="73"/>
      <c r="G81" s="69"/>
    </row>
    <row r="82" spans="1:15" s="79" customFormat="1" ht="14.25" hidden="1" customHeight="1" x14ac:dyDescent="0.25">
      <c r="A82" s="74" t="s">
        <v>329</v>
      </c>
      <c r="B82" s="75" t="s">
        <v>330</v>
      </c>
      <c r="C82" s="42">
        <f t="shared" si="5"/>
        <v>0</v>
      </c>
      <c r="D82" s="76"/>
      <c r="E82" s="76">
        <v>0</v>
      </c>
      <c r="F82" s="77"/>
      <c r="G82" s="78"/>
    </row>
    <row r="83" spans="1:15" s="79" customFormat="1" ht="31.2" hidden="1" x14ac:dyDescent="0.25">
      <c r="A83" s="74" t="s">
        <v>331</v>
      </c>
      <c r="B83" s="75" t="s">
        <v>332</v>
      </c>
      <c r="C83" s="42">
        <f t="shared" si="5"/>
        <v>0</v>
      </c>
      <c r="D83" s="740"/>
      <c r="E83" s="76">
        <v>0</v>
      </c>
      <c r="F83" s="77"/>
      <c r="G83" s="80"/>
    </row>
    <row r="84" spans="1:15" s="79" customFormat="1" ht="72.599999999999994" hidden="1" customHeight="1" x14ac:dyDescent="0.25">
      <c r="A84" s="74">
        <v>41035500</v>
      </c>
      <c r="B84" s="75" t="s">
        <v>830</v>
      </c>
      <c r="C84" s="42">
        <f t="shared" si="5"/>
        <v>0</v>
      </c>
      <c r="D84" s="740"/>
      <c r="E84" s="76"/>
      <c r="F84" s="77"/>
      <c r="G84" s="80"/>
    </row>
    <row r="85" spans="1:15" s="64" customFormat="1" ht="23.85" hidden="1" customHeight="1" x14ac:dyDescent="0.25">
      <c r="A85" s="70">
        <v>41040000</v>
      </c>
      <c r="B85" s="71" t="s">
        <v>333</v>
      </c>
      <c r="C85" s="72">
        <f>C86</f>
        <v>0</v>
      </c>
      <c r="D85" s="72">
        <f>D86</f>
        <v>0</v>
      </c>
      <c r="E85" s="72">
        <f>E86</f>
        <v>0</v>
      </c>
      <c r="F85" s="73"/>
      <c r="G85" s="69"/>
    </row>
    <row r="86" spans="1:15" s="79" customFormat="1" ht="62.4" hidden="1" x14ac:dyDescent="0.25">
      <c r="A86" s="74">
        <v>41040200</v>
      </c>
      <c r="B86" s="75" t="s">
        <v>334</v>
      </c>
      <c r="C86" s="42">
        <f t="shared" si="5"/>
        <v>0</v>
      </c>
      <c r="D86" s="81"/>
      <c r="E86" s="76">
        <v>0</v>
      </c>
      <c r="F86" s="77"/>
      <c r="G86" s="80"/>
      <c r="O86" s="82" t="s">
        <v>335</v>
      </c>
    </row>
    <row r="87" spans="1:15" s="64" customFormat="1" ht="31.2" hidden="1" x14ac:dyDescent="0.25">
      <c r="A87" s="571">
        <v>41050000</v>
      </c>
      <c r="B87" s="71" t="s">
        <v>336</v>
      </c>
      <c r="C87" s="72">
        <f t="shared" ref="C87" si="6">C95+C88+C90+C93+C91+C94</f>
        <v>0</v>
      </c>
      <c r="D87" s="72">
        <f>D95+D88+D90+D93+D91+D94</f>
        <v>0</v>
      </c>
      <c r="E87" s="72">
        <f t="shared" ref="E87:F87" si="7">E95+E88+E90+E93+E91+E94</f>
        <v>0</v>
      </c>
      <c r="F87" s="72">
        <f t="shared" si="7"/>
        <v>0</v>
      </c>
      <c r="G87" s="69"/>
      <c r="O87" s="83"/>
    </row>
    <row r="88" spans="1:15" s="64" customFormat="1" ht="46.8" hidden="1" x14ac:dyDescent="0.25">
      <c r="A88" s="572">
        <v>41051000</v>
      </c>
      <c r="B88" s="75" t="s">
        <v>337</v>
      </c>
      <c r="C88" s="42">
        <f t="shared" si="5"/>
        <v>0</v>
      </c>
      <c r="D88" s="76"/>
      <c r="E88" s="72"/>
      <c r="F88" s="73"/>
      <c r="G88" s="69"/>
      <c r="O88" s="82"/>
    </row>
    <row r="89" spans="1:15" s="64" customFormat="1" ht="46.8" hidden="1" x14ac:dyDescent="0.3">
      <c r="A89" s="573">
        <v>41051100</v>
      </c>
      <c r="B89" s="84" t="s">
        <v>338</v>
      </c>
      <c r="C89" s="42">
        <f t="shared" si="5"/>
        <v>0</v>
      </c>
      <c r="D89" s="76"/>
      <c r="E89" s="72"/>
      <c r="F89" s="73"/>
      <c r="G89" s="69"/>
      <c r="O89" s="82"/>
    </row>
    <row r="90" spans="1:15" s="64" customFormat="1" ht="46.8" hidden="1" x14ac:dyDescent="0.25">
      <c r="A90" s="572">
        <v>41051200</v>
      </c>
      <c r="B90" s="75" t="s">
        <v>339</v>
      </c>
      <c r="C90" s="42">
        <f t="shared" si="5"/>
        <v>0</v>
      </c>
      <c r="D90" s="76"/>
      <c r="E90" s="72"/>
      <c r="F90" s="73"/>
      <c r="G90" s="69"/>
      <c r="O90" s="82"/>
    </row>
    <row r="91" spans="1:15" s="64" customFormat="1" ht="62.4" hidden="1" x14ac:dyDescent="0.3">
      <c r="A91" s="572">
        <v>41051400</v>
      </c>
      <c r="B91" s="84" t="s">
        <v>340</v>
      </c>
      <c r="C91" s="42">
        <f t="shared" si="5"/>
        <v>0</v>
      </c>
      <c r="D91" s="76"/>
      <c r="E91" s="72"/>
      <c r="F91" s="73"/>
      <c r="G91" s="69"/>
      <c r="O91" s="82"/>
    </row>
    <row r="92" spans="1:15" s="64" customFormat="1" ht="62.4" hidden="1" x14ac:dyDescent="0.3">
      <c r="A92" s="573">
        <v>41051700</v>
      </c>
      <c r="B92" s="84" t="s">
        <v>341</v>
      </c>
      <c r="C92" s="42">
        <f t="shared" si="5"/>
        <v>0</v>
      </c>
      <c r="D92" s="76"/>
      <c r="E92" s="72"/>
      <c r="F92" s="73"/>
      <c r="G92" s="69"/>
      <c r="O92" s="82"/>
    </row>
    <row r="93" spans="1:15" s="64" customFormat="1" ht="15.6" hidden="1" x14ac:dyDescent="0.25">
      <c r="A93" s="572">
        <v>41053900</v>
      </c>
      <c r="B93" s="75" t="s">
        <v>342</v>
      </c>
      <c r="C93" s="42">
        <f>D93+E93</f>
        <v>0</v>
      </c>
      <c r="D93" s="76"/>
      <c r="E93" s="73"/>
      <c r="F93" s="73"/>
      <c r="G93" s="69"/>
      <c r="O93" s="82"/>
    </row>
    <row r="94" spans="1:15" s="64" customFormat="1" ht="46.8" hidden="1" x14ac:dyDescent="0.25">
      <c r="A94" s="572">
        <v>41054900</v>
      </c>
      <c r="B94" s="75" t="s">
        <v>894</v>
      </c>
      <c r="C94" s="812">
        <f>D94+E94</f>
        <v>0</v>
      </c>
      <c r="D94" s="740"/>
      <c r="E94" s="810"/>
      <c r="F94" s="73"/>
      <c r="G94" s="69"/>
      <c r="O94" s="82"/>
    </row>
    <row r="95" spans="1:15" s="79" customFormat="1" ht="57" hidden="1" customHeight="1" x14ac:dyDescent="0.25">
      <c r="A95" s="74">
        <v>41055000</v>
      </c>
      <c r="B95" s="75" t="s">
        <v>343</v>
      </c>
      <c r="C95" s="42">
        <f t="shared" si="5"/>
        <v>0</v>
      </c>
      <c r="D95" s="76"/>
      <c r="E95" s="76">
        <v>0</v>
      </c>
      <c r="F95" s="77"/>
      <c r="G95" s="80"/>
      <c r="O95" s="82" t="s">
        <v>335</v>
      </c>
    </row>
    <row r="96" spans="1:15" s="30" customFormat="1" ht="1.5" customHeight="1" thickBot="1" x14ac:dyDescent="0.3">
      <c r="A96" s="85" t="s">
        <v>344</v>
      </c>
      <c r="B96" s="56"/>
      <c r="C96" s="57"/>
      <c r="D96" s="57"/>
      <c r="E96" s="57"/>
      <c r="F96" s="58"/>
      <c r="G96" s="35"/>
    </row>
    <row r="97" spans="1:11" s="30" customFormat="1" ht="17.25" customHeight="1" thickBot="1" x14ac:dyDescent="0.3">
      <c r="A97" s="86" t="s">
        <v>345</v>
      </c>
      <c r="B97" s="25" t="s">
        <v>346</v>
      </c>
      <c r="C97" s="26">
        <f>C77+C78</f>
        <v>4000000</v>
      </c>
      <c r="D97" s="26">
        <f>D77+D78</f>
        <v>4000000</v>
      </c>
      <c r="E97" s="26">
        <f>E77+E78</f>
        <v>0</v>
      </c>
      <c r="F97" s="27">
        <f>F77+F78</f>
        <v>0</v>
      </c>
      <c r="G97" s="35"/>
    </row>
    <row r="98" spans="1:11" x14ac:dyDescent="0.25">
      <c r="A98" s="45"/>
      <c r="B98" s="87"/>
      <c r="C98" s="45"/>
      <c r="D98" s="45"/>
      <c r="E98" s="45"/>
      <c r="F98" s="45"/>
      <c r="G98" s="45"/>
    </row>
    <row r="99" spans="1:11" s="89" customFormat="1" ht="15.75" customHeight="1" x14ac:dyDescent="0.25">
      <c r="A99" s="88"/>
      <c r="B99" s="843"/>
      <c r="C99" s="844"/>
      <c r="D99" s="844"/>
      <c r="E99" s="844"/>
      <c r="F99" s="844"/>
      <c r="G99" s="844"/>
      <c r="K99" s="90"/>
    </row>
    <row r="100" spans="1:11" ht="15.6" x14ac:dyDescent="0.3">
      <c r="A100" s="9"/>
      <c r="B100" s="585"/>
      <c r="C100" s="9"/>
      <c r="D100" s="9"/>
      <c r="E100" s="9"/>
      <c r="F100" s="9"/>
      <c r="G100" s="45"/>
      <c r="K100" s="91"/>
    </row>
    <row r="101" spans="1:11" ht="15.6" x14ac:dyDescent="0.3">
      <c r="A101" s="9"/>
      <c r="B101" s="585" t="s">
        <v>674</v>
      </c>
      <c r="C101" s="9"/>
      <c r="D101" s="9"/>
      <c r="E101" s="9" t="s">
        <v>675</v>
      </c>
      <c r="F101" s="9"/>
    </row>
  </sheetData>
  <mergeCells count="9">
    <mergeCell ref="C3:E3"/>
    <mergeCell ref="B99:G99"/>
    <mergeCell ref="A4:F4"/>
    <mergeCell ref="A5:F5"/>
    <mergeCell ref="A8:A9"/>
    <mergeCell ref="B8:B9"/>
    <mergeCell ref="C8:C9"/>
    <mergeCell ref="D8:D9"/>
    <mergeCell ref="E8:F8"/>
  </mergeCells>
  <pageMargins left="1.1811023622047245" right="0.39370078740157483" top="0.78740157480314965" bottom="0.78740157480314965" header="0.51181102362204722" footer="0.51181102362204722"/>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3"/>
  <sheetViews>
    <sheetView showZeros="0" topLeftCell="A28" zoomScale="96" zoomScaleNormal="96" workbookViewId="0">
      <selection activeCell="E23" sqref="E23"/>
    </sheetView>
  </sheetViews>
  <sheetFormatPr defaultRowHeight="13.2" x14ac:dyDescent="0.3"/>
  <cols>
    <col min="1" max="1" width="11.5546875" style="102" customWidth="1"/>
    <col min="2" max="2" width="45.6640625" style="171" customWidth="1"/>
    <col min="3" max="3" width="21.109375" style="114" customWidth="1"/>
    <col min="4" max="4" width="18.88671875" style="102" customWidth="1"/>
    <col min="5" max="5" width="16.5546875" style="102" customWidth="1"/>
    <col min="6" max="6" width="17.109375" style="102" customWidth="1"/>
    <col min="7" max="7" width="14.44140625" style="102" hidden="1" customWidth="1"/>
    <col min="8" max="8" width="36.33203125" style="102" customWidth="1"/>
    <col min="9" max="256" width="8.88671875" style="102"/>
    <col min="257" max="257" width="11.5546875" style="102" customWidth="1"/>
    <col min="258" max="258" width="45.6640625" style="102" customWidth="1"/>
    <col min="259" max="259" width="15.5546875" style="102" customWidth="1"/>
    <col min="260" max="260" width="17.88671875" style="102" customWidth="1"/>
    <col min="261" max="261" width="16.5546875" style="102" customWidth="1"/>
    <col min="262" max="262" width="17.109375" style="102" customWidth="1"/>
    <col min="263" max="263" width="14.44140625" style="102" customWidth="1"/>
    <col min="264" max="264" width="36.33203125" style="102" customWidth="1"/>
    <col min="265" max="512" width="8.88671875" style="102"/>
    <col min="513" max="513" width="11.5546875" style="102" customWidth="1"/>
    <col min="514" max="514" width="45.6640625" style="102" customWidth="1"/>
    <col min="515" max="515" width="15.5546875" style="102" customWidth="1"/>
    <col min="516" max="516" width="17.88671875" style="102" customWidth="1"/>
    <col min="517" max="517" width="16.5546875" style="102" customWidth="1"/>
    <col min="518" max="518" width="17.109375" style="102" customWidth="1"/>
    <col min="519" max="519" width="14.44140625" style="102" customWidth="1"/>
    <col min="520" max="520" width="36.33203125" style="102" customWidth="1"/>
    <col min="521" max="768" width="8.88671875" style="102"/>
    <col min="769" max="769" width="11.5546875" style="102" customWidth="1"/>
    <col min="770" max="770" width="45.6640625" style="102" customWidth="1"/>
    <col min="771" max="771" width="15.5546875" style="102" customWidth="1"/>
    <col min="772" max="772" width="17.88671875" style="102" customWidth="1"/>
    <col min="773" max="773" width="16.5546875" style="102" customWidth="1"/>
    <col min="774" max="774" width="17.109375" style="102" customWidth="1"/>
    <col min="775" max="775" width="14.44140625" style="102" customWidth="1"/>
    <col min="776" max="776" width="36.33203125" style="102" customWidth="1"/>
    <col min="777" max="1024" width="8.88671875" style="102"/>
    <col min="1025" max="1025" width="11.5546875" style="102" customWidth="1"/>
    <col min="1026" max="1026" width="45.6640625" style="102" customWidth="1"/>
    <col min="1027" max="1027" width="15.5546875" style="102" customWidth="1"/>
    <col min="1028" max="1028" width="17.88671875" style="102" customWidth="1"/>
    <col min="1029" max="1029" width="16.5546875" style="102" customWidth="1"/>
    <col min="1030" max="1030" width="17.109375" style="102" customWidth="1"/>
    <col min="1031" max="1031" width="14.44140625" style="102" customWidth="1"/>
    <col min="1032" max="1032" width="36.33203125" style="102" customWidth="1"/>
    <col min="1033" max="1280" width="8.88671875" style="102"/>
    <col min="1281" max="1281" width="11.5546875" style="102" customWidth="1"/>
    <col min="1282" max="1282" width="45.6640625" style="102" customWidth="1"/>
    <col min="1283" max="1283" width="15.5546875" style="102" customWidth="1"/>
    <col min="1284" max="1284" width="17.88671875" style="102" customWidth="1"/>
    <col min="1285" max="1285" width="16.5546875" style="102" customWidth="1"/>
    <col min="1286" max="1286" width="17.109375" style="102" customWidth="1"/>
    <col min="1287" max="1287" width="14.44140625" style="102" customWidth="1"/>
    <col min="1288" max="1288" width="36.33203125" style="102" customWidth="1"/>
    <col min="1289" max="1536" width="8.88671875" style="102"/>
    <col min="1537" max="1537" width="11.5546875" style="102" customWidth="1"/>
    <col min="1538" max="1538" width="45.6640625" style="102" customWidth="1"/>
    <col min="1539" max="1539" width="15.5546875" style="102" customWidth="1"/>
    <col min="1540" max="1540" width="17.88671875" style="102" customWidth="1"/>
    <col min="1541" max="1541" width="16.5546875" style="102" customWidth="1"/>
    <col min="1542" max="1542" width="17.109375" style="102" customWidth="1"/>
    <col min="1543" max="1543" width="14.44140625" style="102" customWidth="1"/>
    <col min="1544" max="1544" width="36.33203125" style="102" customWidth="1"/>
    <col min="1545" max="1792" width="8.88671875" style="102"/>
    <col min="1793" max="1793" width="11.5546875" style="102" customWidth="1"/>
    <col min="1794" max="1794" width="45.6640625" style="102" customWidth="1"/>
    <col min="1795" max="1795" width="15.5546875" style="102" customWidth="1"/>
    <col min="1796" max="1796" width="17.88671875" style="102" customWidth="1"/>
    <col min="1797" max="1797" width="16.5546875" style="102" customWidth="1"/>
    <col min="1798" max="1798" width="17.109375" style="102" customWidth="1"/>
    <col min="1799" max="1799" width="14.44140625" style="102" customWidth="1"/>
    <col min="1800" max="1800" width="36.33203125" style="102" customWidth="1"/>
    <col min="1801" max="2048" width="8.88671875" style="102"/>
    <col min="2049" max="2049" width="11.5546875" style="102" customWidth="1"/>
    <col min="2050" max="2050" width="45.6640625" style="102" customWidth="1"/>
    <col min="2051" max="2051" width="15.5546875" style="102" customWidth="1"/>
    <col min="2052" max="2052" width="17.88671875" style="102" customWidth="1"/>
    <col min="2053" max="2053" width="16.5546875" style="102" customWidth="1"/>
    <col min="2054" max="2054" width="17.109375" style="102" customWidth="1"/>
    <col min="2055" max="2055" width="14.44140625" style="102" customWidth="1"/>
    <col min="2056" max="2056" width="36.33203125" style="102" customWidth="1"/>
    <col min="2057" max="2304" width="8.88671875" style="102"/>
    <col min="2305" max="2305" width="11.5546875" style="102" customWidth="1"/>
    <col min="2306" max="2306" width="45.6640625" style="102" customWidth="1"/>
    <col min="2307" max="2307" width="15.5546875" style="102" customWidth="1"/>
    <col min="2308" max="2308" width="17.88671875" style="102" customWidth="1"/>
    <col min="2309" max="2309" width="16.5546875" style="102" customWidth="1"/>
    <col min="2310" max="2310" width="17.109375" style="102" customWidth="1"/>
    <col min="2311" max="2311" width="14.44140625" style="102" customWidth="1"/>
    <col min="2312" max="2312" width="36.33203125" style="102" customWidth="1"/>
    <col min="2313" max="2560" width="8.88671875" style="102"/>
    <col min="2561" max="2561" width="11.5546875" style="102" customWidth="1"/>
    <col min="2562" max="2562" width="45.6640625" style="102" customWidth="1"/>
    <col min="2563" max="2563" width="15.5546875" style="102" customWidth="1"/>
    <col min="2564" max="2564" width="17.88671875" style="102" customWidth="1"/>
    <col min="2565" max="2565" width="16.5546875" style="102" customWidth="1"/>
    <col min="2566" max="2566" width="17.109375" style="102" customWidth="1"/>
    <col min="2567" max="2567" width="14.44140625" style="102" customWidth="1"/>
    <col min="2568" max="2568" width="36.33203125" style="102" customWidth="1"/>
    <col min="2569" max="2816" width="8.88671875" style="102"/>
    <col min="2817" max="2817" width="11.5546875" style="102" customWidth="1"/>
    <col min="2818" max="2818" width="45.6640625" style="102" customWidth="1"/>
    <col min="2819" max="2819" width="15.5546875" style="102" customWidth="1"/>
    <col min="2820" max="2820" width="17.88671875" style="102" customWidth="1"/>
    <col min="2821" max="2821" width="16.5546875" style="102" customWidth="1"/>
    <col min="2822" max="2822" width="17.109375" style="102" customWidth="1"/>
    <col min="2823" max="2823" width="14.44140625" style="102" customWidth="1"/>
    <col min="2824" max="2824" width="36.33203125" style="102" customWidth="1"/>
    <col min="2825" max="3072" width="8.88671875" style="102"/>
    <col min="3073" max="3073" width="11.5546875" style="102" customWidth="1"/>
    <col min="3074" max="3074" width="45.6640625" style="102" customWidth="1"/>
    <col min="3075" max="3075" width="15.5546875" style="102" customWidth="1"/>
    <col min="3076" max="3076" width="17.88671875" style="102" customWidth="1"/>
    <col min="3077" max="3077" width="16.5546875" style="102" customWidth="1"/>
    <col min="3078" max="3078" width="17.109375" style="102" customWidth="1"/>
    <col min="3079" max="3079" width="14.44140625" style="102" customWidth="1"/>
    <col min="3080" max="3080" width="36.33203125" style="102" customWidth="1"/>
    <col min="3081" max="3328" width="8.88671875" style="102"/>
    <col min="3329" max="3329" width="11.5546875" style="102" customWidth="1"/>
    <col min="3330" max="3330" width="45.6640625" style="102" customWidth="1"/>
    <col min="3331" max="3331" width="15.5546875" style="102" customWidth="1"/>
    <col min="3332" max="3332" width="17.88671875" style="102" customWidth="1"/>
    <col min="3333" max="3333" width="16.5546875" style="102" customWidth="1"/>
    <col min="3334" max="3334" width="17.109375" style="102" customWidth="1"/>
    <col min="3335" max="3335" width="14.44140625" style="102" customWidth="1"/>
    <col min="3336" max="3336" width="36.33203125" style="102" customWidth="1"/>
    <col min="3337" max="3584" width="8.88671875" style="102"/>
    <col min="3585" max="3585" width="11.5546875" style="102" customWidth="1"/>
    <col min="3586" max="3586" width="45.6640625" style="102" customWidth="1"/>
    <col min="3587" max="3587" width="15.5546875" style="102" customWidth="1"/>
    <col min="3588" max="3588" width="17.88671875" style="102" customWidth="1"/>
    <col min="3589" max="3589" width="16.5546875" style="102" customWidth="1"/>
    <col min="3590" max="3590" width="17.109375" style="102" customWidth="1"/>
    <col min="3591" max="3591" width="14.44140625" style="102" customWidth="1"/>
    <col min="3592" max="3592" width="36.33203125" style="102" customWidth="1"/>
    <col min="3593" max="3840" width="8.88671875" style="102"/>
    <col min="3841" max="3841" width="11.5546875" style="102" customWidth="1"/>
    <col min="3842" max="3842" width="45.6640625" style="102" customWidth="1"/>
    <col min="3843" max="3843" width="15.5546875" style="102" customWidth="1"/>
    <col min="3844" max="3844" width="17.88671875" style="102" customWidth="1"/>
    <col min="3845" max="3845" width="16.5546875" style="102" customWidth="1"/>
    <col min="3846" max="3846" width="17.109375" style="102" customWidth="1"/>
    <col min="3847" max="3847" width="14.44140625" style="102" customWidth="1"/>
    <col min="3848" max="3848" width="36.33203125" style="102" customWidth="1"/>
    <col min="3849" max="4096" width="8.88671875" style="102"/>
    <col min="4097" max="4097" width="11.5546875" style="102" customWidth="1"/>
    <col min="4098" max="4098" width="45.6640625" style="102" customWidth="1"/>
    <col min="4099" max="4099" width="15.5546875" style="102" customWidth="1"/>
    <col min="4100" max="4100" width="17.88671875" style="102" customWidth="1"/>
    <col min="4101" max="4101" width="16.5546875" style="102" customWidth="1"/>
    <col min="4102" max="4102" width="17.109375" style="102" customWidth="1"/>
    <col min="4103" max="4103" width="14.44140625" style="102" customWidth="1"/>
    <col min="4104" max="4104" width="36.33203125" style="102" customWidth="1"/>
    <col min="4105" max="4352" width="8.88671875" style="102"/>
    <col min="4353" max="4353" width="11.5546875" style="102" customWidth="1"/>
    <col min="4354" max="4354" width="45.6640625" style="102" customWidth="1"/>
    <col min="4355" max="4355" width="15.5546875" style="102" customWidth="1"/>
    <col min="4356" max="4356" width="17.88671875" style="102" customWidth="1"/>
    <col min="4357" max="4357" width="16.5546875" style="102" customWidth="1"/>
    <col min="4358" max="4358" width="17.109375" style="102" customWidth="1"/>
    <col min="4359" max="4359" width="14.44140625" style="102" customWidth="1"/>
    <col min="4360" max="4360" width="36.33203125" style="102" customWidth="1"/>
    <col min="4361" max="4608" width="8.88671875" style="102"/>
    <col min="4609" max="4609" width="11.5546875" style="102" customWidth="1"/>
    <col min="4610" max="4610" width="45.6640625" style="102" customWidth="1"/>
    <col min="4611" max="4611" width="15.5546875" style="102" customWidth="1"/>
    <col min="4612" max="4612" width="17.88671875" style="102" customWidth="1"/>
    <col min="4613" max="4613" width="16.5546875" style="102" customWidth="1"/>
    <col min="4614" max="4614" width="17.109375" style="102" customWidth="1"/>
    <col min="4615" max="4615" width="14.44140625" style="102" customWidth="1"/>
    <col min="4616" max="4616" width="36.33203125" style="102" customWidth="1"/>
    <col min="4617" max="4864" width="8.88671875" style="102"/>
    <col min="4865" max="4865" width="11.5546875" style="102" customWidth="1"/>
    <col min="4866" max="4866" width="45.6640625" style="102" customWidth="1"/>
    <col min="4867" max="4867" width="15.5546875" style="102" customWidth="1"/>
    <col min="4868" max="4868" width="17.88671875" style="102" customWidth="1"/>
    <col min="4869" max="4869" width="16.5546875" style="102" customWidth="1"/>
    <col min="4870" max="4870" width="17.109375" style="102" customWidth="1"/>
    <col min="4871" max="4871" width="14.44140625" style="102" customWidth="1"/>
    <col min="4872" max="4872" width="36.33203125" style="102" customWidth="1"/>
    <col min="4873" max="5120" width="8.88671875" style="102"/>
    <col min="5121" max="5121" width="11.5546875" style="102" customWidth="1"/>
    <col min="5122" max="5122" width="45.6640625" style="102" customWidth="1"/>
    <col min="5123" max="5123" width="15.5546875" style="102" customWidth="1"/>
    <col min="5124" max="5124" width="17.88671875" style="102" customWidth="1"/>
    <col min="5125" max="5125" width="16.5546875" style="102" customWidth="1"/>
    <col min="5126" max="5126" width="17.109375" style="102" customWidth="1"/>
    <col min="5127" max="5127" width="14.44140625" style="102" customWidth="1"/>
    <col min="5128" max="5128" width="36.33203125" style="102" customWidth="1"/>
    <col min="5129" max="5376" width="8.88671875" style="102"/>
    <col min="5377" max="5377" width="11.5546875" style="102" customWidth="1"/>
    <col min="5378" max="5378" width="45.6640625" style="102" customWidth="1"/>
    <col min="5379" max="5379" width="15.5546875" style="102" customWidth="1"/>
    <col min="5380" max="5380" width="17.88671875" style="102" customWidth="1"/>
    <col min="5381" max="5381" width="16.5546875" style="102" customWidth="1"/>
    <col min="5382" max="5382" width="17.109375" style="102" customWidth="1"/>
    <col min="5383" max="5383" width="14.44140625" style="102" customWidth="1"/>
    <col min="5384" max="5384" width="36.33203125" style="102" customWidth="1"/>
    <col min="5385" max="5632" width="8.88671875" style="102"/>
    <col min="5633" max="5633" width="11.5546875" style="102" customWidth="1"/>
    <col min="5634" max="5634" width="45.6640625" style="102" customWidth="1"/>
    <col min="5635" max="5635" width="15.5546875" style="102" customWidth="1"/>
    <col min="5636" max="5636" width="17.88671875" style="102" customWidth="1"/>
    <col min="5637" max="5637" width="16.5546875" style="102" customWidth="1"/>
    <col min="5638" max="5638" width="17.109375" style="102" customWidth="1"/>
    <col min="5639" max="5639" width="14.44140625" style="102" customWidth="1"/>
    <col min="5640" max="5640" width="36.33203125" style="102" customWidth="1"/>
    <col min="5641" max="5888" width="8.88671875" style="102"/>
    <col min="5889" max="5889" width="11.5546875" style="102" customWidth="1"/>
    <col min="5890" max="5890" width="45.6640625" style="102" customWidth="1"/>
    <col min="5891" max="5891" width="15.5546875" style="102" customWidth="1"/>
    <col min="5892" max="5892" width="17.88671875" style="102" customWidth="1"/>
    <col min="5893" max="5893" width="16.5546875" style="102" customWidth="1"/>
    <col min="5894" max="5894" width="17.109375" style="102" customWidth="1"/>
    <col min="5895" max="5895" width="14.44140625" style="102" customWidth="1"/>
    <col min="5896" max="5896" width="36.33203125" style="102" customWidth="1"/>
    <col min="5897" max="6144" width="8.88671875" style="102"/>
    <col min="6145" max="6145" width="11.5546875" style="102" customWidth="1"/>
    <col min="6146" max="6146" width="45.6640625" style="102" customWidth="1"/>
    <col min="6147" max="6147" width="15.5546875" style="102" customWidth="1"/>
    <col min="6148" max="6148" width="17.88671875" style="102" customWidth="1"/>
    <col min="6149" max="6149" width="16.5546875" style="102" customWidth="1"/>
    <col min="6150" max="6150" width="17.109375" style="102" customWidth="1"/>
    <col min="6151" max="6151" width="14.44140625" style="102" customWidth="1"/>
    <col min="6152" max="6152" width="36.33203125" style="102" customWidth="1"/>
    <col min="6153" max="6400" width="8.88671875" style="102"/>
    <col min="6401" max="6401" width="11.5546875" style="102" customWidth="1"/>
    <col min="6402" max="6402" width="45.6640625" style="102" customWidth="1"/>
    <col min="6403" max="6403" width="15.5546875" style="102" customWidth="1"/>
    <col min="6404" max="6404" width="17.88671875" style="102" customWidth="1"/>
    <col min="6405" max="6405" width="16.5546875" style="102" customWidth="1"/>
    <col min="6406" max="6406" width="17.109375" style="102" customWidth="1"/>
    <col min="6407" max="6407" width="14.44140625" style="102" customWidth="1"/>
    <col min="6408" max="6408" width="36.33203125" style="102" customWidth="1"/>
    <col min="6409" max="6656" width="8.88671875" style="102"/>
    <col min="6657" max="6657" width="11.5546875" style="102" customWidth="1"/>
    <col min="6658" max="6658" width="45.6640625" style="102" customWidth="1"/>
    <col min="6659" max="6659" width="15.5546875" style="102" customWidth="1"/>
    <col min="6660" max="6660" width="17.88671875" style="102" customWidth="1"/>
    <col min="6661" max="6661" width="16.5546875" style="102" customWidth="1"/>
    <col min="6662" max="6662" width="17.109375" style="102" customWidth="1"/>
    <col min="6663" max="6663" width="14.44140625" style="102" customWidth="1"/>
    <col min="6664" max="6664" width="36.33203125" style="102" customWidth="1"/>
    <col min="6665" max="6912" width="8.88671875" style="102"/>
    <col min="6913" max="6913" width="11.5546875" style="102" customWidth="1"/>
    <col min="6914" max="6914" width="45.6640625" style="102" customWidth="1"/>
    <col min="6915" max="6915" width="15.5546875" style="102" customWidth="1"/>
    <col min="6916" max="6916" width="17.88671875" style="102" customWidth="1"/>
    <col min="6917" max="6917" width="16.5546875" style="102" customWidth="1"/>
    <col min="6918" max="6918" width="17.109375" style="102" customWidth="1"/>
    <col min="6919" max="6919" width="14.44140625" style="102" customWidth="1"/>
    <col min="6920" max="6920" width="36.33203125" style="102" customWidth="1"/>
    <col min="6921" max="7168" width="8.88671875" style="102"/>
    <col min="7169" max="7169" width="11.5546875" style="102" customWidth="1"/>
    <col min="7170" max="7170" width="45.6640625" style="102" customWidth="1"/>
    <col min="7171" max="7171" width="15.5546875" style="102" customWidth="1"/>
    <col min="7172" max="7172" width="17.88671875" style="102" customWidth="1"/>
    <col min="7173" max="7173" width="16.5546875" style="102" customWidth="1"/>
    <col min="7174" max="7174" width="17.109375" style="102" customWidth="1"/>
    <col min="7175" max="7175" width="14.44140625" style="102" customWidth="1"/>
    <col min="7176" max="7176" width="36.33203125" style="102" customWidth="1"/>
    <col min="7177" max="7424" width="8.88671875" style="102"/>
    <col min="7425" max="7425" width="11.5546875" style="102" customWidth="1"/>
    <col min="7426" max="7426" width="45.6640625" style="102" customWidth="1"/>
    <col min="7427" max="7427" width="15.5546875" style="102" customWidth="1"/>
    <col min="7428" max="7428" width="17.88671875" style="102" customWidth="1"/>
    <col min="7429" max="7429" width="16.5546875" style="102" customWidth="1"/>
    <col min="7430" max="7430" width="17.109375" style="102" customWidth="1"/>
    <col min="7431" max="7431" width="14.44140625" style="102" customWidth="1"/>
    <col min="7432" max="7432" width="36.33203125" style="102" customWidth="1"/>
    <col min="7433" max="7680" width="8.88671875" style="102"/>
    <col min="7681" max="7681" width="11.5546875" style="102" customWidth="1"/>
    <col min="7682" max="7682" width="45.6640625" style="102" customWidth="1"/>
    <col min="7683" max="7683" width="15.5546875" style="102" customWidth="1"/>
    <col min="7684" max="7684" width="17.88671875" style="102" customWidth="1"/>
    <col min="7685" max="7685" width="16.5546875" style="102" customWidth="1"/>
    <col min="7686" max="7686" width="17.109375" style="102" customWidth="1"/>
    <col min="7687" max="7687" width="14.44140625" style="102" customWidth="1"/>
    <col min="7688" max="7688" width="36.33203125" style="102" customWidth="1"/>
    <col min="7689" max="7936" width="8.88671875" style="102"/>
    <col min="7937" max="7937" width="11.5546875" style="102" customWidth="1"/>
    <col min="7938" max="7938" width="45.6640625" style="102" customWidth="1"/>
    <col min="7939" max="7939" width="15.5546875" style="102" customWidth="1"/>
    <col min="7940" max="7940" width="17.88671875" style="102" customWidth="1"/>
    <col min="7941" max="7941" width="16.5546875" style="102" customWidth="1"/>
    <col min="7942" max="7942" width="17.109375" style="102" customWidth="1"/>
    <col min="7943" max="7943" width="14.44140625" style="102" customWidth="1"/>
    <col min="7944" max="7944" width="36.33203125" style="102" customWidth="1"/>
    <col min="7945" max="8192" width="8.88671875" style="102"/>
    <col min="8193" max="8193" width="11.5546875" style="102" customWidth="1"/>
    <col min="8194" max="8194" width="45.6640625" style="102" customWidth="1"/>
    <col min="8195" max="8195" width="15.5546875" style="102" customWidth="1"/>
    <col min="8196" max="8196" width="17.88671875" style="102" customWidth="1"/>
    <col min="8197" max="8197" width="16.5546875" style="102" customWidth="1"/>
    <col min="8198" max="8198" width="17.109375" style="102" customWidth="1"/>
    <col min="8199" max="8199" width="14.44140625" style="102" customWidth="1"/>
    <col min="8200" max="8200" width="36.33203125" style="102" customWidth="1"/>
    <col min="8201" max="8448" width="8.88671875" style="102"/>
    <col min="8449" max="8449" width="11.5546875" style="102" customWidth="1"/>
    <col min="8450" max="8450" width="45.6640625" style="102" customWidth="1"/>
    <col min="8451" max="8451" width="15.5546875" style="102" customWidth="1"/>
    <col min="8452" max="8452" width="17.88671875" style="102" customWidth="1"/>
    <col min="8453" max="8453" width="16.5546875" style="102" customWidth="1"/>
    <col min="8454" max="8454" width="17.109375" style="102" customWidth="1"/>
    <col min="8455" max="8455" width="14.44140625" style="102" customWidth="1"/>
    <col min="8456" max="8456" width="36.33203125" style="102" customWidth="1"/>
    <col min="8457" max="8704" width="8.88671875" style="102"/>
    <col min="8705" max="8705" width="11.5546875" style="102" customWidth="1"/>
    <col min="8706" max="8706" width="45.6640625" style="102" customWidth="1"/>
    <col min="8707" max="8707" width="15.5546875" style="102" customWidth="1"/>
    <col min="8708" max="8708" width="17.88671875" style="102" customWidth="1"/>
    <col min="8709" max="8709" width="16.5546875" style="102" customWidth="1"/>
    <col min="8710" max="8710" width="17.109375" style="102" customWidth="1"/>
    <col min="8711" max="8711" width="14.44140625" style="102" customWidth="1"/>
    <col min="8712" max="8712" width="36.33203125" style="102" customWidth="1"/>
    <col min="8713" max="8960" width="8.88671875" style="102"/>
    <col min="8961" max="8961" width="11.5546875" style="102" customWidth="1"/>
    <col min="8962" max="8962" width="45.6640625" style="102" customWidth="1"/>
    <col min="8963" max="8963" width="15.5546875" style="102" customWidth="1"/>
    <col min="8964" max="8964" width="17.88671875" style="102" customWidth="1"/>
    <col min="8965" max="8965" width="16.5546875" style="102" customWidth="1"/>
    <col min="8966" max="8966" width="17.109375" style="102" customWidth="1"/>
    <col min="8967" max="8967" width="14.44140625" style="102" customWidth="1"/>
    <col min="8968" max="8968" width="36.33203125" style="102" customWidth="1"/>
    <col min="8969" max="9216" width="8.88671875" style="102"/>
    <col min="9217" max="9217" width="11.5546875" style="102" customWidth="1"/>
    <col min="9218" max="9218" width="45.6640625" style="102" customWidth="1"/>
    <col min="9219" max="9219" width="15.5546875" style="102" customWidth="1"/>
    <col min="9220" max="9220" width="17.88671875" style="102" customWidth="1"/>
    <col min="9221" max="9221" width="16.5546875" style="102" customWidth="1"/>
    <col min="9222" max="9222" width="17.109375" style="102" customWidth="1"/>
    <col min="9223" max="9223" width="14.44140625" style="102" customWidth="1"/>
    <col min="9224" max="9224" width="36.33203125" style="102" customWidth="1"/>
    <col min="9225" max="9472" width="8.88671875" style="102"/>
    <col min="9473" max="9473" width="11.5546875" style="102" customWidth="1"/>
    <col min="9474" max="9474" width="45.6640625" style="102" customWidth="1"/>
    <col min="9475" max="9475" width="15.5546875" style="102" customWidth="1"/>
    <col min="9476" max="9476" width="17.88671875" style="102" customWidth="1"/>
    <col min="9477" max="9477" width="16.5546875" style="102" customWidth="1"/>
    <col min="9478" max="9478" width="17.109375" style="102" customWidth="1"/>
    <col min="9479" max="9479" width="14.44140625" style="102" customWidth="1"/>
    <col min="9480" max="9480" width="36.33203125" style="102" customWidth="1"/>
    <col min="9481" max="9728" width="8.88671875" style="102"/>
    <col min="9729" max="9729" width="11.5546875" style="102" customWidth="1"/>
    <col min="9730" max="9730" width="45.6640625" style="102" customWidth="1"/>
    <col min="9731" max="9731" width="15.5546875" style="102" customWidth="1"/>
    <col min="9732" max="9732" width="17.88671875" style="102" customWidth="1"/>
    <col min="9733" max="9733" width="16.5546875" style="102" customWidth="1"/>
    <col min="9734" max="9734" width="17.109375" style="102" customWidth="1"/>
    <col min="9735" max="9735" width="14.44140625" style="102" customWidth="1"/>
    <col min="9736" max="9736" width="36.33203125" style="102" customWidth="1"/>
    <col min="9737" max="9984" width="8.88671875" style="102"/>
    <col min="9985" max="9985" width="11.5546875" style="102" customWidth="1"/>
    <col min="9986" max="9986" width="45.6640625" style="102" customWidth="1"/>
    <col min="9987" max="9987" width="15.5546875" style="102" customWidth="1"/>
    <col min="9988" max="9988" width="17.88671875" style="102" customWidth="1"/>
    <col min="9989" max="9989" width="16.5546875" style="102" customWidth="1"/>
    <col min="9990" max="9990" width="17.109375" style="102" customWidth="1"/>
    <col min="9991" max="9991" width="14.44140625" style="102" customWidth="1"/>
    <col min="9992" max="9992" width="36.33203125" style="102" customWidth="1"/>
    <col min="9993" max="10240" width="8.88671875" style="102"/>
    <col min="10241" max="10241" width="11.5546875" style="102" customWidth="1"/>
    <col min="10242" max="10242" width="45.6640625" style="102" customWidth="1"/>
    <col min="10243" max="10243" width="15.5546875" style="102" customWidth="1"/>
    <col min="10244" max="10244" width="17.88671875" style="102" customWidth="1"/>
    <col min="10245" max="10245" width="16.5546875" style="102" customWidth="1"/>
    <col min="10246" max="10246" width="17.109375" style="102" customWidth="1"/>
    <col min="10247" max="10247" width="14.44140625" style="102" customWidth="1"/>
    <col min="10248" max="10248" width="36.33203125" style="102" customWidth="1"/>
    <col min="10249" max="10496" width="8.88671875" style="102"/>
    <col min="10497" max="10497" width="11.5546875" style="102" customWidth="1"/>
    <col min="10498" max="10498" width="45.6640625" style="102" customWidth="1"/>
    <col min="10499" max="10499" width="15.5546875" style="102" customWidth="1"/>
    <col min="10500" max="10500" width="17.88671875" style="102" customWidth="1"/>
    <col min="10501" max="10501" width="16.5546875" style="102" customWidth="1"/>
    <col min="10502" max="10502" width="17.109375" style="102" customWidth="1"/>
    <col min="10503" max="10503" width="14.44140625" style="102" customWidth="1"/>
    <col min="10504" max="10504" width="36.33203125" style="102" customWidth="1"/>
    <col min="10505" max="10752" width="8.88671875" style="102"/>
    <col min="10753" max="10753" width="11.5546875" style="102" customWidth="1"/>
    <col min="10754" max="10754" width="45.6640625" style="102" customWidth="1"/>
    <col min="10755" max="10755" width="15.5546875" style="102" customWidth="1"/>
    <col min="10756" max="10756" width="17.88671875" style="102" customWidth="1"/>
    <col min="10757" max="10757" width="16.5546875" style="102" customWidth="1"/>
    <col min="10758" max="10758" width="17.109375" style="102" customWidth="1"/>
    <col min="10759" max="10759" width="14.44140625" style="102" customWidth="1"/>
    <col min="10760" max="10760" width="36.33203125" style="102" customWidth="1"/>
    <col min="10761" max="11008" width="8.88671875" style="102"/>
    <col min="11009" max="11009" width="11.5546875" style="102" customWidth="1"/>
    <col min="11010" max="11010" width="45.6640625" style="102" customWidth="1"/>
    <col min="11011" max="11011" width="15.5546875" style="102" customWidth="1"/>
    <col min="11012" max="11012" width="17.88671875" style="102" customWidth="1"/>
    <col min="11013" max="11013" width="16.5546875" style="102" customWidth="1"/>
    <col min="11014" max="11014" width="17.109375" style="102" customWidth="1"/>
    <col min="11015" max="11015" width="14.44140625" style="102" customWidth="1"/>
    <col min="11016" max="11016" width="36.33203125" style="102" customWidth="1"/>
    <col min="11017" max="11264" width="8.88671875" style="102"/>
    <col min="11265" max="11265" width="11.5546875" style="102" customWidth="1"/>
    <col min="11266" max="11266" width="45.6640625" style="102" customWidth="1"/>
    <col min="11267" max="11267" width="15.5546875" style="102" customWidth="1"/>
    <col min="11268" max="11268" width="17.88671875" style="102" customWidth="1"/>
    <col min="11269" max="11269" width="16.5546875" style="102" customWidth="1"/>
    <col min="11270" max="11270" width="17.109375" style="102" customWidth="1"/>
    <col min="11271" max="11271" width="14.44140625" style="102" customWidth="1"/>
    <col min="11272" max="11272" width="36.33203125" style="102" customWidth="1"/>
    <col min="11273" max="11520" width="8.88671875" style="102"/>
    <col min="11521" max="11521" width="11.5546875" style="102" customWidth="1"/>
    <col min="11522" max="11522" width="45.6640625" style="102" customWidth="1"/>
    <col min="11523" max="11523" width="15.5546875" style="102" customWidth="1"/>
    <col min="11524" max="11524" width="17.88671875" style="102" customWidth="1"/>
    <col min="11525" max="11525" width="16.5546875" style="102" customWidth="1"/>
    <col min="11526" max="11526" width="17.109375" style="102" customWidth="1"/>
    <col min="11527" max="11527" width="14.44140625" style="102" customWidth="1"/>
    <col min="11528" max="11528" width="36.33203125" style="102" customWidth="1"/>
    <col min="11529" max="11776" width="8.88671875" style="102"/>
    <col min="11777" max="11777" width="11.5546875" style="102" customWidth="1"/>
    <col min="11778" max="11778" width="45.6640625" style="102" customWidth="1"/>
    <col min="11779" max="11779" width="15.5546875" style="102" customWidth="1"/>
    <col min="11780" max="11780" width="17.88671875" style="102" customWidth="1"/>
    <col min="11781" max="11781" width="16.5546875" style="102" customWidth="1"/>
    <col min="11782" max="11782" width="17.109375" style="102" customWidth="1"/>
    <col min="11783" max="11783" width="14.44140625" style="102" customWidth="1"/>
    <col min="11784" max="11784" width="36.33203125" style="102" customWidth="1"/>
    <col min="11785" max="12032" width="8.88671875" style="102"/>
    <col min="12033" max="12033" width="11.5546875" style="102" customWidth="1"/>
    <col min="12034" max="12034" width="45.6640625" style="102" customWidth="1"/>
    <col min="12035" max="12035" width="15.5546875" style="102" customWidth="1"/>
    <col min="12036" max="12036" width="17.88671875" style="102" customWidth="1"/>
    <col min="12037" max="12037" width="16.5546875" style="102" customWidth="1"/>
    <col min="12038" max="12038" width="17.109375" style="102" customWidth="1"/>
    <col min="12039" max="12039" width="14.44140625" style="102" customWidth="1"/>
    <col min="12040" max="12040" width="36.33203125" style="102" customWidth="1"/>
    <col min="12041" max="12288" width="8.88671875" style="102"/>
    <col min="12289" max="12289" width="11.5546875" style="102" customWidth="1"/>
    <col min="12290" max="12290" width="45.6640625" style="102" customWidth="1"/>
    <col min="12291" max="12291" width="15.5546875" style="102" customWidth="1"/>
    <col min="12292" max="12292" width="17.88671875" style="102" customWidth="1"/>
    <col min="12293" max="12293" width="16.5546875" style="102" customWidth="1"/>
    <col min="12294" max="12294" width="17.109375" style="102" customWidth="1"/>
    <col min="12295" max="12295" width="14.44140625" style="102" customWidth="1"/>
    <col min="12296" max="12296" width="36.33203125" style="102" customWidth="1"/>
    <col min="12297" max="12544" width="8.88671875" style="102"/>
    <col min="12545" max="12545" width="11.5546875" style="102" customWidth="1"/>
    <col min="12546" max="12546" width="45.6640625" style="102" customWidth="1"/>
    <col min="12547" max="12547" width="15.5546875" style="102" customWidth="1"/>
    <col min="12548" max="12548" width="17.88671875" style="102" customWidth="1"/>
    <col min="12549" max="12549" width="16.5546875" style="102" customWidth="1"/>
    <col min="12550" max="12550" width="17.109375" style="102" customWidth="1"/>
    <col min="12551" max="12551" width="14.44140625" style="102" customWidth="1"/>
    <col min="12552" max="12552" width="36.33203125" style="102" customWidth="1"/>
    <col min="12553" max="12800" width="8.88671875" style="102"/>
    <col min="12801" max="12801" width="11.5546875" style="102" customWidth="1"/>
    <col min="12802" max="12802" width="45.6640625" style="102" customWidth="1"/>
    <col min="12803" max="12803" width="15.5546875" style="102" customWidth="1"/>
    <col min="12804" max="12804" width="17.88671875" style="102" customWidth="1"/>
    <col min="12805" max="12805" width="16.5546875" style="102" customWidth="1"/>
    <col min="12806" max="12806" width="17.109375" style="102" customWidth="1"/>
    <col min="12807" max="12807" width="14.44140625" style="102" customWidth="1"/>
    <col min="12808" max="12808" width="36.33203125" style="102" customWidth="1"/>
    <col min="12809" max="13056" width="8.88671875" style="102"/>
    <col min="13057" max="13057" width="11.5546875" style="102" customWidth="1"/>
    <col min="13058" max="13058" width="45.6640625" style="102" customWidth="1"/>
    <col min="13059" max="13059" width="15.5546875" style="102" customWidth="1"/>
    <col min="13060" max="13060" width="17.88671875" style="102" customWidth="1"/>
    <col min="13061" max="13061" width="16.5546875" style="102" customWidth="1"/>
    <col min="13062" max="13062" width="17.109375" style="102" customWidth="1"/>
    <col min="13063" max="13063" width="14.44140625" style="102" customWidth="1"/>
    <col min="13064" max="13064" width="36.33203125" style="102" customWidth="1"/>
    <col min="13065" max="13312" width="8.88671875" style="102"/>
    <col min="13313" max="13313" width="11.5546875" style="102" customWidth="1"/>
    <col min="13314" max="13314" width="45.6640625" style="102" customWidth="1"/>
    <col min="13315" max="13315" width="15.5546875" style="102" customWidth="1"/>
    <col min="13316" max="13316" width="17.88671875" style="102" customWidth="1"/>
    <col min="13317" max="13317" width="16.5546875" style="102" customWidth="1"/>
    <col min="13318" max="13318" width="17.109375" style="102" customWidth="1"/>
    <col min="13319" max="13319" width="14.44140625" style="102" customWidth="1"/>
    <col min="13320" max="13320" width="36.33203125" style="102" customWidth="1"/>
    <col min="13321" max="13568" width="8.88671875" style="102"/>
    <col min="13569" max="13569" width="11.5546875" style="102" customWidth="1"/>
    <col min="13570" max="13570" width="45.6640625" style="102" customWidth="1"/>
    <col min="13571" max="13571" width="15.5546875" style="102" customWidth="1"/>
    <col min="13572" max="13572" width="17.88671875" style="102" customWidth="1"/>
    <col min="13573" max="13573" width="16.5546875" style="102" customWidth="1"/>
    <col min="13574" max="13574" width="17.109375" style="102" customWidth="1"/>
    <col min="13575" max="13575" width="14.44140625" style="102" customWidth="1"/>
    <col min="13576" max="13576" width="36.33203125" style="102" customWidth="1"/>
    <col min="13577" max="13824" width="8.88671875" style="102"/>
    <col min="13825" max="13825" width="11.5546875" style="102" customWidth="1"/>
    <col min="13826" max="13826" width="45.6640625" style="102" customWidth="1"/>
    <col min="13827" max="13827" width="15.5546875" style="102" customWidth="1"/>
    <col min="13828" max="13828" width="17.88671875" style="102" customWidth="1"/>
    <col min="13829" max="13829" width="16.5546875" style="102" customWidth="1"/>
    <col min="13830" max="13830" width="17.109375" style="102" customWidth="1"/>
    <col min="13831" max="13831" width="14.44140625" style="102" customWidth="1"/>
    <col min="13832" max="13832" width="36.33203125" style="102" customWidth="1"/>
    <col min="13833" max="14080" width="8.88671875" style="102"/>
    <col min="14081" max="14081" width="11.5546875" style="102" customWidth="1"/>
    <col min="14082" max="14082" width="45.6640625" style="102" customWidth="1"/>
    <col min="14083" max="14083" width="15.5546875" style="102" customWidth="1"/>
    <col min="14084" max="14084" width="17.88671875" style="102" customWidth="1"/>
    <col min="14085" max="14085" width="16.5546875" style="102" customWidth="1"/>
    <col min="14086" max="14086" width="17.109375" style="102" customWidth="1"/>
    <col min="14087" max="14087" width="14.44140625" style="102" customWidth="1"/>
    <col min="14088" max="14088" width="36.33203125" style="102" customWidth="1"/>
    <col min="14089" max="14336" width="8.88671875" style="102"/>
    <col min="14337" max="14337" width="11.5546875" style="102" customWidth="1"/>
    <col min="14338" max="14338" width="45.6640625" style="102" customWidth="1"/>
    <col min="14339" max="14339" width="15.5546875" style="102" customWidth="1"/>
    <col min="14340" max="14340" width="17.88671875" style="102" customWidth="1"/>
    <col min="14341" max="14341" width="16.5546875" style="102" customWidth="1"/>
    <col min="14342" max="14342" width="17.109375" style="102" customWidth="1"/>
    <col min="14343" max="14343" width="14.44140625" style="102" customWidth="1"/>
    <col min="14344" max="14344" width="36.33203125" style="102" customWidth="1"/>
    <col min="14345" max="14592" width="8.88671875" style="102"/>
    <col min="14593" max="14593" width="11.5546875" style="102" customWidth="1"/>
    <col min="14594" max="14594" width="45.6640625" style="102" customWidth="1"/>
    <col min="14595" max="14595" width="15.5546875" style="102" customWidth="1"/>
    <col min="14596" max="14596" width="17.88671875" style="102" customWidth="1"/>
    <col min="14597" max="14597" width="16.5546875" style="102" customWidth="1"/>
    <col min="14598" max="14598" width="17.109375" style="102" customWidth="1"/>
    <col min="14599" max="14599" width="14.44140625" style="102" customWidth="1"/>
    <col min="14600" max="14600" width="36.33203125" style="102" customWidth="1"/>
    <col min="14601" max="14848" width="8.88671875" style="102"/>
    <col min="14849" max="14849" width="11.5546875" style="102" customWidth="1"/>
    <col min="14850" max="14850" width="45.6640625" style="102" customWidth="1"/>
    <col min="14851" max="14851" width="15.5546875" style="102" customWidth="1"/>
    <col min="14852" max="14852" width="17.88671875" style="102" customWidth="1"/>
    <col min="14853" max="14853" width="16.5546875" style="102" customWidth="1"/>
    <col min="14854" max="14854" width="17.109375" style="102" customWidth="1"/>
    <col min="14855" max="14855" width="14.44140625" style="102" customWidth="1"/>
    <col min="14856" max="14856" width="36.33203125" style="102" customWidth="1"/>
    <col min="14857" max="15104" width="8.88671875" style="102"/>
    <col min="15105" max="15105" width="11.5546875" style="102" customWidth="1"/>
    <col min="15106" max="15106" width="45.6640625" style="102" customWidth="1"/>
    <col min="15107" max="15107" width="15.5546875" style="102" customWidth="1"/>
    <col min="15108" max="15108" width="17.88671875" style="102" customWidth="1"/>
    <col min="15109" max="15109" width="16.5546875" style="102" customWidth="1"/>
    <col min="15110" max="15110" width="17.109375" style="102" customWidth="1"/>
    <col min="15111" max="15111" width="14.44140625" style="102" customWidth="1"/>
    <col min="15112" max="15112" width="36.33203125" style="102" customWidth="1"/>
    <col min="15113" max="15360" width="8.88671875" style="102"/>
    <col min="15361" max="15361" width="11.5546875" style="102" customWidth="1"/>
    <col min="15362" max="15362" width="45.6640625" style="102" customWidth="1"/>
    <col min="15363" max="15363" width="15.5546875" style="102" customWidth="1"/>
    <col min="15364" max="15364" width="17.88671875" style="102" customWidth="1"/>
    <col min="15365" max="15365" width="16.5546875" style="102" customWidth="1"/>
    <col min="15366" max="15366" width="17.109375" style="102" customWidth="1"/>
    <col min="15367" max="15367" width="14.44140625" style="102" customWidth="1"/>
    <col min="15368" max="15368" width="36.33203125" style="102" customWidth="1"/>
    <col min="15369" max="15616" width="8.88671875" style="102"/>
    <col min="15617" max="15617" width="11.5546875" style="102" customWidth="1"/>
    <col min="15618" max="15618" width="45.6640625" style="102" customWidth="1"/>
    <col min="15619" max="15619" width="15.5546875" style="102" customWidth="1"/>
    <col min="15620" max="15620" width="17.88671875" style="102" customWidth="1"/>
    <col min="15621" max="15621" width="16.5546875" style="102" customWidth="1"/>
    <col min="15622" max="15622" width="17.109375" style="102" customWidth="1"/>
    <col min="15623" max="15623" width="14.44140625" style="102" customWidth="1"/>
    <col min="15624" max="15624" width="36.33203125" style="102" customWidth="1"/>
    <col min="15625" max="15872" width="8.88671875" style="102"/>
    <col min="15873" max="15873" width="11.5546875" style="102" customWidth="1"/>
    <col min="15874" max="15874" width="45.6640625" style="102" customWidth="1"/>
    <col min="15875" max="15875" width="15.5546875" style="102" customWidth="1"/>
    <col min="15876" max="15876" width="17.88671875" style="102" customWidth="1"/>
    <col min="15877" max="15877" width="16.5546875" style="102" customWidth="1"/>
    <col min="15878" max="15878" width="17.109375" style="102" customWidth="1"/>
    <col min="15879" max="15879" width="14.44140625" style="102" customWidth="1"/>
    <col min="15880" max="15880" width="36.33203125" style="102" customWidth="1"/>
    <col min="15881" max="16128" width="8.88671875" style="102"/>
    <col min="16129" max="16129" width="11.5546875" style="102" customWidth="1"/>
    <col min="16130" max="16130" width="45.6640625" style="102" customWidth="1"/>
    <col min="16131" max="16131" width="15.5546875" style="102" customWidth="1"/>
    <col min="16132" max="16132" width="17.88671875" style="102" customWidth="1"/>
    <col min="16133" max="16133" width="16.5546875" style="102" customWidth="1"/>
    <col min="16134" max="16134" width="17.109375" style="102" customWidth="1"/>
    <col min="16135" max="16135" width="14.44140625" style="102" customWidth="1"/>
    <col min="16136" max="16136" width="36.33203125" style="102" customWidth="1"/>
    <col min="16137" max="16384" width="8.88671875" style="102"/>
  </cols>
  <sheetData>
    <row r="1" spans="1:7" s="11" customFormat="1" ht="15.6" x14ac:dyDescent="0.3">
      <c r="A1" s="9"/>
      <c r="B1" s="9"/>
      <c r="C1" s="9"/>
      <c r="D1" s="859" t="s">
        <v>347</v>
      </c>
      <c r="E1" s="859"/>
      <c r="F1" s="859"/>
      <c r="G1" s="12"/>
    </row>
    <row r="2" spans="1:7" s="11" customFormat="1" ht="18" x14ac:dyDescent="0.35">
      <c r="A2" s="9"/>
      <c r="B2" s="13"/>
      <c r="C2" s="9"/>
      <c r="D2" s="14" t="s">
        <v>866</v>
      </c>
      <c r="E2" s="14"/>
      <c r="F2" s="14"/>
      <c r="G2" s="12"/>
    </row>
    <row r="3" spans="1:7" s="11" customFormat="1" ht="15.6" x14ac:dyDescent="0.3">
      <c r="A3" s="9"/>
      <c r="B3" s="9"/>
      <c r="C3" s="9"/>
      <c r="D3" s="14" t="s">
        <v>1026</v>
      </c>
      <c r="E3" s="14"/>
      <c r="F3" s="14"/>
      <c r="G3" s="12"/>
    </row>
    <row r="4" spans="1:7" s="93" customFormat="1" ht="17.399999999999999" x14ac:dyDescent="0.3">
      <c r="B4" s="94"/>
      <c r="C4" s="95"/>
      <c r="D4" s="860"/>
      <c r="E4" s="860"/>
      <c r="F4" s="860"/>
    </row>
    <row r="5" spans="1:7" s="93" customFormat="1" ht="17.399999999999999" x14ac:dyDescent="0.3">
      <c r="A5" s="861" t="s">
        <v>348</v>
      </c>
      <c r="B5" s="861"/>
      <c r="C5" s="861"/>
      <c r="D5" s="861"/>
      <c r="E5" s="861"/>
      <c r="F5" s="861"/>
    </row>
    <row r="6" spans="1:7" s="93" customFormat="1" ht="23.25" customHeight="1" x14ac:dyDescent="0.3">
      <c r="A6" s="862" t="s">
        <v>782</v>
      </c>
      <c r="B6" s="862"/>
      <c r="C6" s="862"/>
      <c r="D6" s="862"/>
      <c r="E6" s="862"/>
      <c r="F6" s="862"/>
      <c r="G6" s="94"/>
    </row>
    <row r="7" spans="1:7" s="93" customFormat="1" ht="15.75" customHeight="1" x14ac:dyDescent="0.3">
      <c r="A7" s="610"/>
      <c r="B7" s="96">
        <v>11503000000</v>
      </c>
      <c r="C7" s="610"/>
      <c r="D7" s="610"/>
      <c r="E7" s="610"/>
      <c r="F7" s="610"/>
      <c r="G7" s="94"/>
    </row>
    <row r="8" spans="1:7" s="99" customFormat="1" ht="16.5" customHeight="1" x14ac:dyDescent="0.3">
      <c r="A8" s="97"/>
      <c r="B8" s="96" t="s">
        <v>2</v>
      </c>
      <c r="C8" s="609"/>
      <c r="D8" s="609"/>
      <c r="E8" s="609"/>
      <c r="F8" s="609"/>
      <c r="G8" s="98"/>
    </row>
    <row r="9" spans="1:7" ht="18.600000000000001" thickBot="1" x14ac:dyDescent="0.35">
      <c r="A9" s="100"/>
      <c r="B9" s="101"/>
      <c r="C9" s="97"/>
      <c r="D9" s="100"/>
      <c r="E9" s="100"/>
      <c r="F9" s="100" t="s">
        <v>188</v>
      </c>
    </row>
    <row r="10" spans="1:7" s="103" customFormat="1" ht="24.75" customHeight="1" thickBot="1" x14ac:dyDescent="0.35">
      <c r="A10" s="863" t="s">
        <v>349</v>
      </c>
      <c r="B10" s="865" t="s">
        <v>350</v>
      </c>
      <c r="C10" s="867" t="s">
        <v>182</v>
      </c>
      <c r="D10" s="869" t="s">
        <v>11</v>
      </c>
      <c r="E10" s="871" t="s">
        <v>12</v>
      </c>
      <c r="F10" s="872"/>
    </row>
    <row r="11" spans="1:7" s="103" customFormat="1" ht="61.5" customHeight="1" thickBot="1" x14ac:dyDescent="0.35">
      <c r="A11" s="864"/>
      <c r="B11" s="866"/>
      <c r="C11" s="868"/>
      <c r="D11" s="870"/>
      <c r="E11" s="104" t="s">
        <v>10</v>
      </c>
      <c r="F11" s="105" t="s">
        <v>14</v>
      </c>
      <c r="G11" s="106"/>
    </row>
    <row r="12" spans="1:7" s="103" customFormat="1" ht="13.5" customHeight="1" thickBot="1" x14ac:dyDescent="0.35">
      <c r="A12" s="606">
        <v>1</v>
      </c>
      <c r="B12" s="107">
        <v>2</v>
      </c>
      <c r="C12" s="107">
        <v>3</v>
      </c>
      <c r="D12" s="607">
        <v>4</v>
      </c>
      <c r="E12" s="107">
        <v>5</v>
      </c>
      <c r="F12" s="608">
        <v>6</v>
      </c>
      <c r="G12" s="106"/>
    </row>
    <row r="13" spans="1:7" s="103" customFormat="1" ht="18" thickBot="1" x14ac:dyDescent="0.35">
      <c r="A13" s="855" t="s">
        <v>351</v>
      </c>
      <c r="B13" s="856"/>
      <c r="C13" s="856"/>
      <c r="D13" s="856"/>
      <c r="E13" s="856"/>
      <c r="F13" s="857"/>
      <c r="G13" s="106"/>
    </row>
    <row r="14" spans="1:7" s="103" customFormat="1" ht="17.399999999999999" x14ac:dyDescent="0.3">
      <c r="A14" s="108">
        <v>200000</v>
      </c>
      <c r="B14" s="109" t="s">
        <v>352</v>
      </c>
      <c r="C14" s="593">
        <f>SUM(D14:E14)</f>
        <v>12345283.300000001</v>
      </c>
      <c r="D14" s="493">
        <f>D15</f>
        <v>7023237.8800000008</v>
      </c>
      <c r="E14" s="494">
        <f>E15</f>
        <v>5322045.42</v>
      </c>
      <c r="F14" s="495">
        <f>F15</f>
        <v>5233802</v>
      </c>
      <c r="G14" s="110"/>
    </row>
    <row r="15" spans="1:7" s="114" customFormat="1" ht="39.75" customHeight="1" x14ac:dyDescent="0.3">
      <c r="A15" s="111">
        <v>208000</v>
      </c>
      <c r="B15" s="112" t="s">
        <v>353</v>
      </c>
      <c r="C15" s="594">
        <f t="shared" ref="C15:C29" si="0">SUM(D15:E15)</f>
        <v>12345283.300000001</v>
      </c>
      <c r="D15" s="496">
        <f>D18-D21+D25</f>
        <v>7023237.8800000008</v>
      </c>
      <c r="E15" s="497">
        <f>E18-E21+E24+E25</f>
        <v>5322045.42</v>
      </c>
      <c r="F15" s="498">
        <f>F18-F21+F25</f>
        <v>5233802</v>
      </c>
      <c r="G15" s="113"/>
    </row>
    <row r="16" spans="1:7" s="116" customFormat="1" ht="39.6" customHeight="1" x14ac:dyDescent="0.3">
      <c r="A16" s="111"/>
      <c r="B16" s="112" t="s">
        <v>354</v>
      </c>
      <c r="C16" s="594">
        <f>SUM(D16:E16)</f>
        <v>12345283.300000001</v>
      </c>
      <c r="D16" s="496">
        <f>D18-D21</f>
        <v>12207039.880000001</v>
      </c>
      <c r="E16" s="497">
        <f>E18-E21+E24</f>
        <v>138243.41999999998</v>
      </c>
      <c r="F16" s="498">
        <f>F18-F21</f>
        <v>50000</v>
      </c>
      <c r="G16" s="115"/>
    </row>
    <row r="17" spans="1:8" s="120" customFormat="1" ht="36" x14ac:dyDescent="0.3">
      <c r="A17" s="117"/>
      <c r="B17" s="118" t="s">
        <v>355</v>
      </c>
      <c r="C17" s="595">
        <f t="shared" si="0"/>
        <v>1381362.37</v>
      </c>
      <c r="D17" s="499">
        <f>D19-D22</f>
        <v>1381362.37</v>
      </c>
      <c r="E17" s="500">
        <f>E19-E23</f>
        <v>0</v>
      </c>
      <c r="F17" s="501">
        <f>F19-F23</f>
        <v>0</v>
      </c>
      <c r="G17" s="119"/>
    </row>
    <row r="18" spans="1:8" s="103" customFormat="1" ht="18" x14ac:dyDescent="0.3">
      <c r="A18" s="121">
        <v>208100</v>
      </c>
      <c r="B18" s="122" t="s">
        <v>356</v>
      </c>
      <c r="C18" s="596">
        <f t="shared" si="0"/>
        <v>12637958.940000001</v>
      </c>
      <c r="D18" s="502">
        <f>12214785.39+175000</f>
        <v>12389785.390000001</v>
      </c>
      <c r="E18" s="502">
        <f>248173.55</f>
        <v>248173.55</v>
      </c>
      <c r="F18" s="502">
        <f>248173.55-3.69-98911.92-51463.42</f>
        <v>97794.52</v>
      </c>
      <c r="G18" s="110"/>
    </row>
    <row r="19" spans="1:8" s="116" customFormat="1" ht="18" x14ac:dyDescent="0.3">
      <c r="A19" s="123"/>
      <c r="B19" s="131" t="s">
        <v>360</v>
      </c>
      <c r="C19" s="597">
        <f t="shared" si="0"/>
        <v>1381362.37</v>
      </c>
      <c r="D19" s="503">
        <v>1381362.37</v>
      </c>
      <c r="E19" s="503"/>
      <c r="F19" s="503"/>
      <c r="G19" s="115"/>
    </row>
    <row r="20" spans="1:8" s="116" customFormat="1" ht="18" x14ac:dyDescent="0.3">
      <c r="A20" s="123"/>
      <c r="B20" s="133" t="s">
        <v>370</v>
      </c>
      <c r="C20" s="597">
        <f t="shared" si="0"/>
        <v>482768.36</v>
      </c>
      <c r="D20" s="503">
        <f>76416.22+406352.14</f>
        <v>482768.36</v>
      </c>
      <c r="E20" s="503"/>
      <c r="F20" s="503"/>
      <c r="G20" s="115"/>
    </row>
    <row r="21" spans="1:8" s="103" customFormat="1" ht="18" x14ac:dyDescent="0.3">
      <c r="A21" s="121">
        <v>208200</v>
      </c>
      <c r="B21" s="122" t="s">
        <v>357</v>
      </c>
      <c r="C21" s="596">
        <f t="shared" si="0"/>
        <v>292671.95000000059</v>
      </c>
      <c r="D21" s="502">
        <f>12214785.39+175000-5459951-3432969.15-1141319-1696448.59-20000-50000-406352.14</f>
        <v>182745.51000000059</v>
      </c>
      <c r="E21" s="502">
        <f>248173.55-3.69-50000-51463.42-36780</f>
        <v>109926.44</v>
      </c>
      <c r="F21" s="502">
        <f>248173.55-3.69-98911.92-51463.42-50000</f>
        <v>47794.520000000004</v>
      </c>
      <c r="G21" s="124">
        <f>D21-D23</f>
        <v>182745.51000000059</v>
      </c>
    </row>
    <row r="22" spans="1:8" s="103" customFormat="1" ht="18" hidden="1" x14ac:dyDescent="0.3">
      <c r="A22" s="121"/>
      <c r="B22" s="131" t="s">
        <v>360</v>
      </c>
      <c r="C22" s="597">
        <f t="shared" si="0"/>
        <v>0</v>
      </c>
      <c r="D22" s="503">
        <f>1381362.37-1381362.37</f>
        <v>0</v>
      </c>
      <c r="E22" s="503"/>
      <c r="F22" s="503"/>
      <c r="G22" s="124"/>
    </row>
    <row r="23" spans="1:8" s="116" customFormat="1" ht="18" x14ac:dyDescent="0.3">
      <c r="A23" s="123"/>
      <c r="B23" s="133" t="s">
        <v>370</v>
      </c>
      <c r="C23" s="597">
        <f t="shared" si="0"/>
        <v>0</v>
      </c>
      <c r="D23" s="503">
        <f>76416.22+406352.14-406352.14-76416.22</f>
        <v>0</v>
      </c>
      <c r="E23" s="503"/>
      <c r="F23" s="503"/>
      <c r="G23" s="125">
        <f>G21-207.99-175000</f>
        <v>7537.5200000006007</v>
      </c>
    </row>
    <row r="24" spans="1:8" s="116" customFormat="1" ht="18" x14ac:dyDescent="0.3">
      <c r="A24" s="123">
        <v>208340</v>
      </c>
      <c r="B24" s="133" t="s">
        <v>718</v>
      </c>
      <c r="C24" s="597">
        <f t="shared" si="0"/>
        <v>-3.69</v>
      </c>
      <c r="D24" s="503"/>
      <c r="E24" s="503">
        <v>-3.69</v>
      </c>
      <c r="F24" s="503"/>
      <c r="G24" s="125"/>
    </row>
    <row r="25" spans="1:8" s="129" customFormat="1" ht="58.5" customHeight="1" x14ac:dyDescent="0.3">
      <c r="A25" s="126">
        <v>208400</v>
      </c>
      <c r="B25" s="127" t="s">
        <v>358</v>
      </c>
      <c r="C25" s="598">
        <f t="shared" si="0"/>
        <v>0</v>
      </c>
      <c r="D25" s="502">
        <f>-E25</f>
        <v>-5183802</v>
      </c>
      <c r="E25" s="502">
        <f>208566+1846751+2830000+305000+20000+1121825+79000-455196-408939+211876-575081</f>
        <v>5183802</v>
      </c>
      <c r="F25" s="502">
        <f>E25</f>
        <v>5183802</v>
      </c>
      <c r="G25" s="128"/>
    </row>
    <row r="26" spans="1:8" s="129" customFormat="1" ht="18" hidden="1" x14ac:dyDescent="0.3">
      <c r="A26" s="130"/>
      <c r="B26" s="131" t="s">
        <v>359</v>
      </c>
      <c r="C26" s="599">
        <f t="shared" si="0"/>
        <v>0</v>
      </c>
      <c r="D26" s="504"/>
      <c r="E26" s="503"/>
      <c r="F26" s="505"/>
      <c r="G26" s="128"/>
    </row>
    <row r="27" spans="1:8" s="129" customFormat="1" ht="18" hidden="1" x14ac:dyDescent="0.3">
      <c r="A27" s="130"/>
      <c r="B27" s="131" t="s">
        <v>360</v>
      </c>
      <c r="C27" s="599">
        <f t="shared" si="0"/>
        <v>0</v>
      </c>
      <c r="D27" s="502">
        <f>-E27</f>
        <v>0</v>
      </c>
      <c r="E27" s="503"/>
      <c r="F27" s="505">
        <f>E27</f>
        <v>0</v>
      </c>
      <c r="G27" s="128"/>
    </row>
    <row r="28" spans="1:8" s="135" customFormat="1" ht="25.2" thickBot="1" x14ac:dyDescent="0.35">
      <c r="A28" s="132"/>
      <c r="B28" s="133" t="s">
        <v>370</v>
      </c>
      <c r="C28" s="600">
        <f t="shared" si="0"/>
        <v>0</v>
      </c>
      <c r="D28" s="502">
        <f>-E28</f>
        <v>-208566</v>
      </c>
      <c r="E28" s="502">
        <f>208566</f>
        <v>208566</v>
      </c>
      <c r="F28" s="506">
        <f>E28</f>
        <v>208566</v>
      </c>
      <c r="G28" s="128"/>
      <c r="H28" s="134"/>
    </row>
    <row r="29" spans="1:8" s="139" customFormat="1" ht="21" thickBot="1" x14ac:dyDescent="0.35">
      <c r="A29" s="136" t="s">
        <v>345</v>
      </c>
      <c r="B29" s="137" t="s">
        <v>361</v>
      </c>
      <c r="C29" s="601">
        <f t="shared" si="0"/>
        <v>12345283.300000001</v>
      </c>
      <c r="D29" s="507">
        <f>D14</f>
        <v>7023237.8800000008</v>
      </c>
      <c r="E29" s="508">
        <f>E14</f>
        <v>5322045.42</v>
      </c>
      <c r="F29" s="509">
        <f>F14</f>
        <v>5233802</v>
      </c>
      <c r="G29" s="138"/>
    </row>
    <row r="30" spans="1:8" s="139" customFormat="1" ht="21" thickBot="1" x14ac:dyDescent="0.35">
      <c r="A30" s="855" t="s">
        <v>362</v>
      </c>
      <c r="B30" s="856"/>
      <c r="C30" s="856"/>
      <c r="D30" s="856"/>
      <c r="E30" s="856"/>
      <c r="F30" s="857"/>
      <c r="G30" s="138"/>
    </row>
    <row r="31" spans="1:8" s="103" customFormat="1" ht="34.799999999999997" x14ac:dyDescent="0.3">
      <c r="A31" s="108">
        <v>600000</v>
      </c>
      <c r="B31" s="109" t="s">
        <v>363</v>
      </c>
      <c r="C31" s="593">
        <f>SUM(D31:E31)</f>
        <v>12345283.300000001</v>
      </c>
      <c r="D31" s="493">
        <f>D32</f>
        <v>7023237.8800000008</v>
      </c>
      <c r="E31" s="494">
        <f>E32</f>
        <v>5322045.42</v>
      </c>
      <c r="F31" s="495">
        <f>F32</f>
        <v>5233802</v>
      </c>
      <c r="G31" s="110"/>
    </row>
    <row r="32" spans="1:8" s="114" customFormat="1" ht="28.5" customHeight="1" x14ac:dyDescent="0.3">
      <c r="A32" s="140" t="s">
        <v>364</v>
      </c>
      <c r="B32" s="141" t="s">
        <v>365</v>
      </c>
      <c r="C32" s="602">
        <f t="shared" ref="C32:C45" si="1">SUM(D32:E32)</f>
        <v>12345283.300000001</v>
      </c>
      <c r="D32" s="513">
        <f>D36-D39+D43</f>
        <v>7023237.8800000008</v>
      </c>
      <c r="E32" s="514">
        <f>E36-E39++E42+E43</f>
        <v>5322045.42</v>
      </c>
      <c r="F32" s="515">
        <f>F36-F39+F43</f>
        <v>5233802</v>
      </c>
      <c r="G32" s="142"/>
    </row>
    <row r="33" spans="1:7" s="116" customFormat="1" ht="43.95" customHeight="1" x14ac:dyDescent="0.3">
      <c r="A33" s="140"/>
      <c r="B33" s="112" t="s">
        <v>354</v>
      </c>
      <c r="C33" s="602">
        <f t="shared" si="1"/>
        <v>12345286.99</v>
      </c>
      <c r="D33" s="513">
        <f t="shared" ref="D33:F34" si="2">D36-D39</f>
        <v>12207039.880000001</v>
      </c>
      <c r="E33" s="514">
        <f t="shared" si="2"/>
        <v>138247.10999999999</v>
      </c>
      <c r="F33" s="515">
        <f t="shared" si="2"/>
        <v>50000</v>
      </c>
      <c r="G33" s="143"/>
    </row>
    <row r="34" spans="1:7" s="120" customFormat="1" ht="36" x14ac:dyDescent="0.3">
      <c r="A34" s="144"/>
      <c r="B34" s="118" t="s">
        <v>366</v>
      </c>
      <c r="C34" s="603">
        <f t="shared" si="1"/>
        <v>1381362.37</v>
      </c>
      <c r="D34" s="504">
        <f t="shared" si="2"/>
        <v>1381362.37</v>
      </c>
      <c r="E34" s="516">
        <f t="shared" si="2"/>
        <v>0</v>
      </c>
      <c r="F34" s="517">
        <f t="shared" si="2"/>
        <v>0</v>
      </c>
      <c r="G34" s="145"/>
    </row>
    <row r="35" spans="1:7" s="120" customFormat="1" ht="36" hidden="1" x14ac:dyDescent="0.3">
      <c r="A35" s="144"/>
      <c r="B35" s="118" t="s">
        <v>683</v>
      </c>
      <c r="C35" s="603"/>
      <c r="D35" s="504"/>
      <c r="E35" s="516"/>
      <c r="F35" s="517"/>
      <c r="G35" s="145"/>
    </row>
    <row r="36" spans="1:7" s="103" customFormat="1" ht="18" x14ac:dyDescent="0.3">
      <c r="A36" s="146" t="s">
        <v>367</v>
      </c>
      <c r="B36" s="122" t="s">
        <v>356</v>
      </c>
      <c r="C36" s="604">
        <f t="shared" si="1"/>
        <v>12637958.940000001</v>
      </c>
      <c r="D36" s="502">
        <f t="shared" ref="D36:F40" si="3">D18</f>
        <v>12389785.390000001</v>
      </c>
      <c r="E36" s="518">
        <f t="shared" si="3"/>
        <v>248173.55</v>
      </c>
      <c r="F36" s="518">
        <f t="shared" si="3"/>
        <v>97794.52</v>
      </c>
      <c r="G36" s="147"/>
    </row>
    <row r="37" spans="1:7" s="116" customFormat="1" ht="36" x14ac:dyDescent="0.3">
      <c r="A37" s="144"/>
      <c r="B37" s="118" t="s">
        <v>366</v>
      </c>
      <c r="C37" s="602">
        <f t="shared" si="1"/>
        <v>1381362.37</v>
      </c>
      <c r="D37" s="503">
        <f t="shared" si="3"/>
        <v>1381362.37</v>
      </c>
      <c r="E37" s="516">
        <f t="shared" si="3"/>
        <v>0</v>
      </c>
      <c r="F37" s="516">
        <f t="shared" si="3"/>
        <v>0</v>
      </c>
      <c r="G37" s="148"/>
    </row>
    <row r="38" spans="1:7" s="116" customFormat="1" ht="36" x14ac:dyDescent="0.3">
      <c r="A38" s="144"/>
      <c r="B38" s="118" t="s">
        <v>683</v>
      </c>
      <c r="C38" s="602">
        <f t="shared" si="1"/>
        <v>482768.36</v>
      </c>
      <c r="D38" s="503">
        <f t="shared" si="3"/>
        <v>482768.36</v>
      </c>
      <c r="E38" s="503">
        <f t="shared" si="3"/>
        <v>0</v>
      </c>
      <c r="F38" s="503">
        <f t="shared" si="3"/>
        <v>0</v>
      </c>
      <c r="G38" s="148"/>
    </row>
    <row r="39" spans="1:7" ht="18" x14ac:dyDescent="0.3">
      <c r="A39" s="149" t="s">
        <v>368</v>
      </c>
      <c r="B39" s="122" t="s">
        <v>357</v>
      </c>
      <c r="C39" s="604">
        <f t="shared" si="1"/>
        <v>292671.95000000059</v>
      </c>
      <c r="D39" s="502">
        <f t="shared" si="3"/>
        <v>182745.51000000059</v>
      </c>
      <c r="E39" s="518">
        <f t="shared" si="3"/>
        <v>109926.44</v>
      </c>
      <c r="F39" s="518">
        <f t="shared" si="3"/>
        <v>47794.520000000004</v>
      </c>
      <c r="G39" s="150"/>
    </row>
    <row r="40" spans="1:7" s="120" customFormat="1" ht="36" x14ac:dyDescent="0.3">
      <c r="A40" s="151"/>
      <c r="B40" s="118" t="s">
        <v>355</v>
      </c>
      <c r="C40" s="602">
        <f t="shared" si="1"/>
        <v>0</v>
      </c>
      <c r="D40" s="503">
        <f t="shared" si="3"/>
        <v>0</v>
      </c>
      <c r="E40" s="503">
        <f t="shared" si="3"/>
        <v>0</v>
      </c>
      <c r="F40" s="503">
        <f t="shared" si="3"/>
        <v>0</v>
      </c>
      <c r="G40" s="145"/>
    </row>
    <row r="41" spans="1:7" s="120" customFormat="1" ht="36" x14ac:dyDescent="0.3">
      <c r="A41" s="151"/>
      <c r="B41" s="118" t="s">
        <v>683</v>
      </c>
      <c r="C41" s="602">
        <f t="shared" si="1"/>
        <v>0</v>
      </c>
      <c r="D41" s="503">
        <f>D23</f>
        <v>0</v>
      </c>
      <c r="E41" s="503">
        <f>E23</f>
        <v>0</v>
      </c>
      <c r="F41" s="503">
        <f>F23</f>
        <v>0</v>
      </c>
      <c r="G41" s="145"/>
    </row>
    <row r="42" spans="1:7" s="120" customFormat="1" ht="18" x14ac:dyDescent="0.3">
      <c r="A42" s="151" t="s">
        <v>731</v>
      </c>
      <c r="B42" s="133" t="s">
        <v>718</v>
      </c>
      <c r="C42" s="602">
        <f t="shared" si="1"/>
        <v>-3.69</v>
      </c>
      <c r="D42" s="503"/>
      <c r="E42" s="503">
        <f>E24</f>
        <v>-3.69</v>
      </c>
      <c r="F42" s="503"/>
      <c r="G42" s="145"/>
    </row>
    <row r="43" spans="1:7" ht="61.5" customHeight="1" x14ac:dyDescent="0.3">
      <c r="A43" s="149" t="s">
        <v>369</v>
      </c>
      <c r="B43" s="122" t="s">
        <v>358</v>
      </c>
      <c r="C43" s="602">
        <f t="shared" si="1"/>
        <v>0</v>
      </c>
      <c r="D43" s="502">
        <f t="shared" ref="D43:F46" si="4">D25</f>
        <v>-5183802</v>
      </c>
      <c r="E43" s="518">
        <f t="shared" si="4"/>
        <v>5183802</v>
      </c>
      <c r="F43" s="518">
        <f t="shared" si="4"/>
        <v>5183802</v>
      </c>
      <c r="G43" s="150"/>
    </row>
    <row r="44" spans="1:7" s="120" customFormat="1" ht="18" hidden="1" x14ac:dyDescent="0.3">
      <c r="A44" s="130"/>
      <c r="B44" s="131" t="s">
        <v>359</v>
      </c>
      <c r="C44" s="602">
        <f t="shared" si="1"/>
        <v>0</v>
      </c>
      <c r="D44" s="504">
        <f t="shared" si="4"/>
        <v>0</v>
      </c>
      <c r="E44" s="516">
        <f t="shared" si="4"/>
        <v>0</v>
      </c>
      <c r="F44" s="517">
        <f t="shared" si="4"/>
        <v>0</v>
      </c>
      <c r="G44" s="145"/>
    </row>
    <row r="45" spans="1:7" s="120" customFormat="1" ht="18" hidden="1" x14ac:dyDescent="0.3">
      <c r="A45" s="130"/>
      <c r="B45" s="131" t="s">
        <v>360</v>
      </c>
      <c r="C45" s="602">
        <f t="shared" si="1"/>
        <v>0</v>
      </c>
      <c r="D45" s="504">
        <f t="shared" si="4"/>
        <v>0</v>
      </c>
      <c r="E45" s="516">
        <f t="shared" si="4"/>
        <v>0</v>
      </c>
      <c r="F45" s="517">
        <f t="shared" si="4"/>
        <v>0</v>
      </c>
      <c r="G45" s="145"/>
    </row>
    <row r="46" spans="1:7" ht="18.600000000000001" thickBot="1" x14ac:dyDescent="0.35">
      <c r="A46" s="132"/>
      <c r="B46" s="133" t="s">
        <v>370</v>
      </c>
      <c r="C46" s="519"/>
      <c r="D46" s="520">
        <f t="shared" si="4"/>
        <v>-208566</v>
      </c>
      <c r="E46" s="521">
        <f t="shared" si="4"/>
        <v>208566</v>
      </c>
      <c r="F46" s="522">
        <f t="shared" si="4"/>
        <v>208566</v>
      </c>
      <c r="G46" s="150"/>
    </row>
    <row r="47" spans="1:7" s="153" customFormat="1" ht="21.6" thickBot="1" x14ac:dyDescent="0.35">
      <c r="A47" s="136" t="s">
        <v>345</v>
      </c>
      <c r="B47" s="137" t="s">
        <v>361</v>
      </c>
      <c r="C47" s="523"/>
      <c r="D47" s="524">
        <f>D31</f>
        <v>7023237.8800000008</v>
      </c>
      <c r="E47" s="525">
        <f>E31</f>
        <v>5322045.42</v>
      </c>
      <c r="F47" s="526">
        <f>F31</f>
        <v>5233802</v>
      </c>
      <c r="G47" s="152"/>
    </row>
    <row r="48" spans="1:7" s="103" customFormat="1" ht="17.399999999999999" x14ac:dyDescent="0.3">
      <c r="A48" s="154"/>
      <c r="B48" s="155"/>
      <c r="C48" s="156"/>
      <c r="D48" s="157"/>
      <c r="E48" s="157"/>
      <c r="F48" s="157"/>
      <c r="G48" s="158"/>
    </row>
    <row r="49" spans="1:7" ht="18" x14ac:dyDescent="0.3">
      <c r="A49" s="858" t="s">
        <v>684</v>
      </c>
      <c r="B49" s="858"/>
      <c r="C49" s="858"/>
      <c r="D49" s="858"/>
      <c r="E49" s="858"/>
      <c r="F49" s="858"/>
      <c r="G49" s="150"/>
    </row>
    <row r="50" spans="1:7" x14ac:dyDescent="0.3">
      <c r="A50" s="159"/>
      <c r="B50" s="160"/>
      <c r="C50" s="161"/>
      <c r="D50" s="161"/>
      <c r="E50" s="161"/>
      <c r="F50" s="161"/>
      <c r="G50" s="150"/>
    </row>
    <row r="51" spans="1:7" s="166" customFormat="1" ht="16.2" x14ac:dyDescent="0.3">
      <c r="A51" s="162"/>
      <c r="B51" s="163"/>
      <c r="C51" s="164"/>
      <c r="D51" s="165"/>
      <c r="E51" s="165"/>
      <c r="F51" s="165"/>
      <c r="G51" s="165"/>
    </row>
    <row r="52" spans="1:7" s="100" customFormat="1" ht="18" x14ac:dyDescent="0.3">
      <c r="B52" s="101"/>
      <c r="C52" s="167"/>
    </row>
    <row r="53" spans="1:7" x14ac:dyDescent="0.3">
      <c r="A53" s="168"/>
      <c r="B53" s="169"/>
      <c r="C53" s="170"/>
    </row>
    <row r="54" spans="1:7" x14ac:dyDescent="0.3">
      <c r="A54" s="168"/>
      <c r="B54" s="169"/>
      <c r="C54" s="170"/>
    </row>
    <row r="55" spans="1:7" x14ac:dyDescent="0.3">
      <c r="A55" s="168"/>
      <c r="B55" s="169"/>
      <c r="C55" s="170"/>
    </row>
    <row r="56" spans="1:7" x14ac:dyDescent="0.3">
      <c r="A56" s="168"/>
      <c r="B56" s="169"/>
      <c r="C56" s="170"/>
    </row>
    <row r="57" spans="1:7" x14ac:dyDescent="0.3">
      <c r="A57" s="168"/>
      <c r="B57" s="169"/>
      <c r="C57" s="170"/>
    </row>
    <row r="58" spans="1:7" x14ac:dyDescent="0.3">
      <c r="A58" s="168"/>
      <c r="B58" s="169"/>
      <c r="C58" s="170"/>
    </row>
    <row r="59" spans="1:7" x14ac:dyDescent="0.3">
      <c r="A59" s="168"/>
      <c r="B59" s="169"/>
      <c r="C59" s="170"/>
    </row>
    <row r="60" spans="1:7" x14ac:dyDescent="0.3">
      <c r="B60" s="169"/>
      <c r="C60" s="170"/>
    </row>
    <row r="61" spans="1:7" x14ac:dyDescent="0.3">
      <c r="B61" s="169"/>
      <c r="C61" s="170"/>
    </row>
    <row r="62" spans="1:7" x14ac:dyDescent="0.3">
      <c r="B62" s="169"/>
      <c r="C62" s="170"/>
    </row>
    <row r="63" spans="1:7" x14ac:dyDescent="0.3">
      <c r="B63" s="169"/>
      <c r="C63" s="170"/>
    </row>
    <row r="64" spans="1:7" x14ac:dyDescent="0.3">
      <c r="B64" s="169"/>
      <c r="C64" s="170"/>
    </row>
    <row r="65" spans="2:3" x14ac:dyDescent="0.3">
      <c r="B65" s="169"/>
      <c r="C65" s="170"/>
    </row>
    <row r="66" spans="2:3" x14ac:dyDescent="0.3">
      <c r="B66" s="169"/>
      <c r="C66" s="170"/>
    </row>
    <row r="67" spans="2:3" x14ac:dyDescent="0.3">
      <c r="B67" s="169"/>
      <c r="C67" s="170"/>
    </row>
    <row r="68" spans="2:3" x14ac:dyDescent="0.3">
      <c r="B68" s="169"/>
      <c r="C68" s="170"/>
    </row>
    <row r="69" spans="2:3" x14ac:dyDescent="0.3">
      <c r="B69" s="169"/>
      <c r="C69" s="170"/>
    </row>
    <row r="70" spans="2:3" x14ac:dyDescent="0.3">
      <c r="B70" s="169"/>
      <c r="C70" s="170"/>
    </row>
    <row r="71" spans="2:3" x14ac:dyDescent="0.3">
      <c r="B71" s="169"/>
      <c r="C71" s="170"/>
    </row>
    <row r="72" spans="2:3" x14ac:dyDescent="0.3">
      <c r="B72" s="169"/>
      <c r="C72" s="170"/>
    </row>
    <row r="73" spans="2:3" x14ac:dyDescent="0.3">
      <c r="B73" s="169"/>
      <c r="C73" s="170"/>
    </row>
    <row r="74" spans="2:3" x14ac:dyDescent="0.3">
      <c r="B74" s="169"/>
      <c r="C74" s="170"/>
    </row>
    <row r="75" spans="2:3" x14ac:dyDescent="0.3">
      <c r="B75" s="169"/>
      <c r="C75" s="170"/>
    </row>
    <row r="76" spans="2:3" x14ac:dyDescent="0.3">
      <c r="B76" s="169"/>
      <c r="C76" s="170"/>
    </row>
    <row r="77" spans="2:3" x14ac:dyDescent="0.3">
      <c r="B77" s="169"/>
      <c r="C77" s="170"/>
    </row>
    <row r="78" spans="2:3" x14ac:dyDescent="0.3">
      <c r="B78" s="169"/>
      <c r="C78" s="170"/>
    </row>
    <row r="79" spans="2:3" x14ac:dyDescent="0.3">
      <c r="B79" s="169"/>
      <c r="C79" s="170"/>
    </row>
    <row r="80" spans="2:3" x14ac:dyDescent="0.3">
      <c r="B80" s="169"/>
      <c r="C80" s="170"/>
    </row>
    <row r="81" spans="2:3" x14ac:dyDescent="0.3">
      <c r="B81" s="169"/>
      <c r="C81" s="170"/>
    </row>
    <row r="82" spans="2:3" x14ac:dyDescent="0.3">
      <c r="B82" s="169"/>
      <c r="C82" s="170"/>
    </row>
    <row r="83" spans="2:3" x14ac:dyDescent="0.3">
      <c r="B83" s="169"/>
      <c r="C83" s="170"/>
    </row>
  </sheetData>
  <mergeCells count="12">
    <mergeCell ref="A13:F13"/>
    <mergeCell ref="A30:F30"/>
    <mergeCell ref="A49:F49"/>
    <mergeCell ref="D1:F1"/>
    <mergeCell ref="D4:F4"/>
    <mergeCell ref="A5:F5"/>
    <mergeCell ref="A6:F6"/>
    <mergeCell ref="A10:A11"/>
    <mergeCell ref="B10:B11"/>
    <mergeCell ref="C10:C11"/>
    <mergeCell ref="D10:D11"/>
    <mergeCell ref="E10:F10"/>
  </mergeCells>
  <printOptions horizontalCentered="1"/>
  <pageMargins left="1.1023622047244095" right="0.39370078740157483" top="0.78740157480314965" bottom="0.78740157480314965" header="0.35433070866141736" footer="0.19685039370078741"/>
  <pageSetup paperSize="9" scale="67" orientation="portrait" r:id="rId1"/>
  <headerFooter differentFirst="1" alignWithMargins="0">
    <oddHeader xml:space="preserve">&amp;R&amp;"Times New Roman,полужирный"&amp;14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S160"/>
  <sheetViews>
    <sheetView showZeros="0" tabSelected="1" view="pageBreakPreview" topLeftCell="A64" zoomScale="90" zoomScaleNormal="100" zoomScaleSheetLayoutView="90" workbookViewId="0">
      <selection activeCell="K70" sqref="K70:L70"/>
    </sheetView>
  </sheetViews>
  <sheetFormatPr defaultColWidth="7.88671875" defaultRowHeight="13.2" x14ac:dyDescent="0.25"/>
  <cols>
    <col min="1" max="1" width="3.33203125" style="172" customWidth="1"/>
    <col min="2" max="2" width="11.44140625" style="172" customWidth="1"/>
    <col min="3" max="3" width="10.44140625" style="172" customWidth="1"/>
    <col min="4" max="4" width="10.6640625" style="172" customWidth="1"/>
    <col min="5" max="5" width="52.88671875" style="172" customWidth="1"/>
    <col min="6" max="7" width="14.44140625" style="172" customWidth="1"/>
    <col min="8" max="8" width="13.33203125" style="172" customWidth="1"/>
    <col min="9" max="9" width="10.88671875" style="172" customWidth="1"/>
    <col min="10" max="10" width="7.88671875" style="172" customWidth="1"/>
    <col min="11" max="11" width="13" style="251" customWidth="1"/>
    <col min="12" max="12" width="12.5546875" style="251" customWidth="1"/>
    <col min="13" max="13" width="11.33203125" style="251" hidden="1" customWidth="1"/>
    <col min="14" max="14" width="12.5546875" style="251" customWidth="1"/>
    <col min="15" max="15" width="9.5546875" style="251" customWidth="1"/>
    <col min="16" max="16" width="10" style="251" customWidth="1"/>
    <col min="17" max="17" width="12.5546875" style="251" customWidth="1"/>
    <col min="18" max="18" width="13.109375" style="172" customWidth="1"/>
    <col min="19" max="19" width="16.88671875" style="176" hidden="1" customWidth="1"/>
    <col min="20" max="255" width="7.88671875" style="176"/>
    <col min="256" max="256" width="3.33203125" style="176" customWidth="1"/>
    <col min="257" max="257" width="10.33203125" style="176" customWidth="1"/>
    <col min="258" max="258" width="0" style="176" hidden="1" customWidth="1"/>
    <col min="259" max="259" width="19.5546875" style="176" customWidth="1"/>
    <col min="260" max="260" width="11.6640625" style="176" customWidth="1"/>
    <col min="261" max="261" width="48.44140625" style="176" customWidth="1"/>
    <col min="262" max="262" width="13.109375" style="176" customWidth="1"/>
    <col min="263" max="263" width="12.6640625" style="176" customWidth="1"/>
    <col min="264" max="264" width="11.44140625" style="176" customWidth="1"/>
    <col min="265" max="265" width="10.88671875" style="176" customWidth="1"/>
    <col min="266" max="266" width="7.88671875" style="176" customWidth="1"/>
    <col min="267" max="267" width="9.5546875" style="176" customWidth="1"/>
    <col min="268" max="268" width="9" style="176" customWidth="1"/>
    <col min="269" max="269" width="0" style="176" hidden="1" customWidth="1"/>
    <col min="270" max="270" width="10.5546875" style="176" customWidth="1"/>
    <col min="271" max="271" width="9.5546875" style="176" customWidth="1"/>
    <col min="272" max="272" width="10" style="176" customWidth="1"/>
    <col min="273" max="273" width="9.33203125" style="176" customWidth="1"/>
    <col min="274" max="274" width="11.5546875" style="176" customWidth="1"/>
    <col min="275" max="275" width="0" style="176" hidden="1" customWidth="1"/>
    <col min="276" max="511" width="7.88671875" style="176"/>
    <col min="512" max="512" width="3.33203125" style="176" customWidth="1"/>
    <col min="513" max="513" width="10.33203125" style="176" customWidth="1"/>
    <col min="514" max="514" width="0" style="176" hidden="1" customWidth="1"/>
    <col min="515" max="515" width="19.5546875" style="176" customWidth="1"/>
    <col min="516" max="516" width="11.6640625" style="176" customWidth="1"/>
    <col min="517" max="517" width="48.44140625" style="176" customWidth="1"/>
    <col min="518" max="518" width="13.109375" style="176" customWidth="1"/>
    <col min="519" max="519" width="12.6640625" style="176" customWidth="1"/>
    <col min="520" max="520" width="11.44140625" style="176" customWidth="1"/>
    <col min="521" max="521" width="10.88671875" style="176" customWidth="1"/>
    <col min="522" max="522" width="7.88671875" style="176" customWidth="1"/>
    <col min="523" max="523" width="9.5546875" style="176" customWidth="1"/>
    <col min="524" max="524" width="9" style="176" customWidth="1"/>
    <col min="525" max="525" width="0" style="176" hidden="1" customWidth="1"/>
    <col min="526" max="526" width="10.5546875" style="176" customWidth="1"/>
    <col min="527" max="527" width="9.5546875" style="176" customWidth="1"/>
    <col min="528" max="528" width="10" style="176" customWidth="1"/>
    <col min="529" max="529" width="9.33203125" style="176" customWidth="1"/>
    <col min="530" max="530" width="11.5546875" style="176" customWidth="1"/>
    <col min="531" max="531" width="0" style="176" hidden="1" customWidth="1"/>
    <col min="532" max="767" width="7.88671875" style="176"/>
    <col min="768" max="768" width="3.33203125" style="176" customWidth="1"/>
    <col min="769" max="769" width="10.33203125" style="176" customWidth="1"/>
    <col min="770" max="770" width="0" style="176" hidden="1" customWidth="1"/>
    <col min="771" max="771" width="19.5546875" style="176" customWidth="1"/>
    <col min="772" max="772" width="11.6640625" style="176" customWidth="1"/>
    <col min="773" max="773" width="48.44140625" style="176" customWidth="1"/>
    <col min="774" max="774" width="13.109375" style="176" customWidth="1"/>
    <col min="775" max="775" width="12.6640625" style="176" customWidth="1"/>
    <col min="776" max="776" width="11.44140625" style="176" customWidth="1"/>
    <col min="777" max="777" width="10.88671875" style="176" customWidth="1"/>
    <col min="778" max="778" width="7.88671875" style="176" customWidth="1"/>
    <col min="779" max="779" width="9.5546875" style="176" customWidth="1"/>
    <col min="780" max="780" width="9" style="176" customWidth="1"/>
    <col min="781" max="781" width="0" style="176" hidden="1" customWidth="1"/>
    <col min="782" max="782" width="10.5546875" style="176" customWidth="1"/>
    <col min="783" max="783" width="9.5546875" style="176" customWidth="1"/>
    <col min="784" max="784" width="10" style="176" customWidth="1"/>
    <col min="785" max="785" width="9.33203125" style="176" customWidth="1"/>
    <col min="786" max="786" width="11.5546875" style="176" customWidth="1"/>
    <col min="787" max="787" width="0" style="176" hidden="1" customWidth="1"/>
    <col min="788" max="1023" width="7.88671875" style="176"/>
    <col min="1024" max="1024" width="3.33203125" style="176" customWidth="1"/>
    <col min="1025" max="1025" width="10.33203125" style="176" customWidth="1"/>
    <col min="1026" max="1026" width="0" style="176" hidden="1" customWidth="1"/>
    <col min="1027" max="1027" width="19.5546875" style="176" customWidth="1"/>
    <col min="1028" max="1028" width="11.6640625" style="176" customWidth="1"/>
    <col min="1029" max="1029" width="48.44140625" style="176" customWidth="1"/>
    <col min="1030" max="1030" width="13.109375" style="176" customWidth="1"/>
    <col min="1031" max="1031" width="12.6640625" style="176" customWidth="1"/>
    <col min="1032" max="1032" width="11.44140625" style="176" customWidth="1"/>
    <col min="1033" max="1033" width="10.88671875" style="176" customWidth="1"/>
    <col min="1034" max="1034" width="7.88671875" style="176" customWidth="1"/>
    <col min="1035" max="1035" width="9.5546875" style="176" customWidth="1"/>
    <col min="1036" max="1036" width="9" style="176" customWidth="1"/>
    <col min="1037" max="1037" width="0" style="176" hidden="1" customWidth="1"/>
    <col min="1038" max="1038" width="10.5546875" style="176" customWidth="1"/>
    <col min="1039" max="1039" width="9.5546875" style="176" customWidth="1"/>
    <col min="1040" max="1040" width="10" style="176" customWidth="1"/>
    <col min="1041" max="1041" width="9.33203125" style="176" customWidth="1"/>
    <col min="1042" max="1042" width="11.5546875" style="176" customWidth="1"/>
    <col min="1043" max="1043" width="0" style="176" hidden="1" customWidth="1"/>
    <col min="1044" max="1279" width="7.88671875" style="176"/>
    <col min="1280" max="1280" width="3.33203125" style="176" customWidth="1"/>
    <col min="1281" max="1281" width="10.33203125" style="176" customWidth="1"/>
    <col min="1282" max="1282" width="0" style="176" hidden="1" customWidth="1"/>
    <col min="1283" max="1283" width="19.5546875" style="176" customWidth="1"/>
    <col min="1284" max="1284" width="11.6640625" style="176" customWidth="1"/>
    <col min="1285" max="1285" width="48.44140625" style="176" customWidth="1"/>
    <col min="1286" max="1286" width="13.109375" style="176" customWidth="1"/>
    <col min="1287" max="1287" width="12.6640625" style="176" customWidth="1"/>
    <col min="1288" max="1288" width="11.44140625" style="176" customWidth="1"/>
    <col min="1289" max="1289" width="10.88671875" style="176" customWidth="1"/>
    <col min="1290" max="1290" width="7.88671875" style="176" customWidth="1"/>
    <col min="1291" max="1291" width="9.5546875" style="176" customWidth="1"/>
    <col min="1292" max="1292" width="9" style="176" customWidth="1"/>
    <col min="1293" max="1293" width="0" style="176" hidden="1" customWidth="1"/>
    <col min="1294" max="1294" width="10.5546875" style="176" customWidth="1"/>
    <col min="1295" max="1295" width="9.5546875" style="176" customWidth="1"/>
    <col min="1296" max="1296" width="10" style="176" customWidth="1"/>
    <col min="1297" max="1297" width="9.33203125" style="176" customWidth="1"/>
    <col min="1298" max="1298" width="11.5546875" style="176" customWidth="1"/>
    <col min="1299" max="1299" width="0" style="176" hidden="1" customWidth="1"/>
    <col min="1300" max="1535" width="7.88671875" style="176"/>
    <col min="1536" max="1536" width="3.33203125" style="176" customWidth="1"/>
    <col min="1537" max="1537" width="10.33203125" style="176" customWidth="1"/>
    <col min="1538" max="1538" width="0" style="176" hidden="1" customWidth="1"/>
    <col min="1539" max="1539" width="19.5546875" style="176" customWidth="1"/>
    <col min="1540" max="1540" width="11.6640625" style="176" customWidth="1"/>
    <col min="1541" max="1541" width="48.44140625" style="176" customWidth="1"/>
    <col min="1542" max="1542" width="13.109375" style="176" customWidth="1"/>
    <col min="1543" max="1543" width="12.6640625" style="176" customWidth="1"/>
    <col min="1544" max="1544" width="11.44140625" style="176" customWidth="1"/>
    <col min="1545" max="1545" width="10.88671875" style="176" customWidth="1"/>
    <col min="1546" max="1546" width="7.88671875" style="176" customWidth="1"/>
    <col min="1547" max="1547" width="9.5546875" style="176" customWidth="1"/>
    <col min="1548" max="1548" width="9" style="176" customWidth="1"/>
    <col min="1549" max="1549" width="0" style="176" hidden="1" customWidth="1"/>
    <col min="1550" max="1550" width="10.5546875" style="176" customWidth="1"/>
    <col min="1551" max="1551" width="9.5546875" style="176" customWidth="1"/>
    <col min="1552" max="1552" width="10" style="176" customWidth="1"/>
    <col min="1553" max="1553" width="9.33203125" style="176" customWidth="1"/>
    <col min="1554" max="1554" width="11.5546875" style="176" customWidth="1"/>
    <col min="1555" max="1555" width="0" style="176" hidden="1" customWidth="1"/>
    <col min="1556" max="1791" width="7.88671875" style="176"/>
    <col min="1792" max="1792" width="3.33203125" style="176" customWidth="1"/>
    <col min="1793" max="1793" width="10.33203125" style="176" customWidth="1"/>
    <col min="1794" max="1794" width="0" style="176" hidden="1" customWidth="1"/>
    <col min="1795" max="1795" width="19.5546875" style="176" customWidth="1"/>
    <col min="1796" max="1796" width="11.6640625" style="176" customWidth="1"/>
    <col min="1797" max="1797" width="48.44140625" style="176" customWidth="1"/>
    <col min="1798" max="1798" width="13.109375" style="176" customWidth="1"/>
    <col min="1799" max="1799" width="12.6640625" style="176" customWidth="1"/>
    <col min="1800" max="1800" width="11.44140625" style="176" customWidth="1"/>
    <col min="1801" max="1801" width="10.88671875" style="176" customWidth="1"/>
    <col min="1802" max="1802" width="7.88671875" style="176" customWidth="1"/>
    <col min="1803" max="1803" width="9.5546875" style="176" customWidth="1"/>
    <col min="1804" max="1804" width="9" style="176" customWidth="1"/>
    <col min="1805" max="1805" width="0" style="176" hidden="1" customWidth="1"/>
    <col min="1806" max="1806" width="10.5546875" style="176" customWidth="1"/>
    <col min="1807" max="1807" width="9.5546875" style="176" customWidth="1"/>
    <col min="1808" max="1808" width="10" style="176" customWidth="1"/>
    <col min="1809" max="1809" width="9.33203125" style="176" customWidth="1"/>
    <col min="1810" max="1810" width="11.5546875" style="176" customWidth="1"/>
    <col min="1811" max="1811" width="0" style="176" hidden="1" customWidth="1"/>
    <col min="1812" max="2047" width="7.88671875" style="176"/>
    <col min="2048" max="2048" width="3.33203125" style="176" customWidth="1"/>
    <col min="2049" max="2049" width="10.33203125" style="176" customWidth="1"/>
    <col min="2050" max="2050" width="0" style="176" hidden="1" customWidth="1"/>
    <col min="2051" max="2051" width="19.5546875" style="176" customWidth="1"/>
    <col min="2052" max="2052" width="11.6640625" style="176" customWidth="1"/>
    <col min="2053" max="2053" width="48.44140625" style="176" customWidth="1"/>
    <col min="2054" max="2054" width="13.109375" style="176" customWidth="1"/>
    <col min="2055" max="2055" width="12.6640625" style="176" customWidth="1"/>
    <col min="2056" max="2056" width="11.44140625" style="176" customWidth="1"/>
    <col min="2057" max="2057" width="10.88671875" style="176" customWidth="1"/>
    <col min="2058" max="2058" width="7.88671875" style="176" customWidth="1"/>
    <col min="2059" max="2059" width="9.5546875" style="176" customWidth="1"/>
    <col min="2060" max="2060" width="9" style="176" customWidth="1"/>
    <col min="2061" max="2061" width="0" style="176" hidden="1" customWidth="1"/>
    <col min="2062" max="2062" width="10.5546875" style="176" customWidth="1"/>
    <col min="2063" max="2063" width="9.5546875" style="176" customWidth="1"/>
    <col min="2064" max="2064" width="10" style="176" customWidth="1"/>
    <col min="2065" max="2065" width="9.33203125" style="176" customWidth="1"/>
    <col min="2066" max="2066" width="11.5546875" style="176" customWidth="1"/>
    <col min="2067" max="2067" width="0" style="176" hidden="1" customWidth="1"/>
    <col min="2068" max="2303" width="7.88671875" style="176"/>
    <col min="2304" max="2304" width="3.33203125" style="176" customWidth="1"/>
    <col min="2305" max="2305" width="10.33203125" style="176" customWidth="1"/>
    <col min="2306" max="2306" width="0" style="176" hidden="1" customWidth="1"/>
    <col min="2307" max="2307" width="19.5546875" style="176" customWidth="1"/>
    <col min="2308" max="2308" width="11.6640625" style="176" customWidth="1"/>
    <col min="2309" max="2309" width="48.44140625" style="176" customWidth="1"/>
    <col min="2310" max="2310" width="13.109375" style="176" customWidth="1"/>
    <col min="2311" max="2311" width="12.6640625" style="176" customWidth="1"/>
    <col min="2312" max="2312" width="11.44140625" style="176" customWidth="1"/>
    <col min="2313" max="2313" width="10.88671875" style="176" customWidth="1"/>
    <col min="2314" max="2314" width="7.88671875" style="176" customWidth="1"/>
    <col min="2315" max="2315" width="9.5546875" style="176" customWidth="1"/>
    <col min="2316" max="2316" width="9" style="176" customWidth="1"/>
    <col min="2317" max="2317" width="0" style="176" hidden="1" customWidth="1"/>
    <col min="2318" max="2318" width="10.5546875" style="176" customWidth="1"/>
    <col min="2319" max="2319" width="9.5546875" style="176" customWidth="1"/>
    <col min="2320" max="2320" width="10" style="176" customWidth="1"/>
    <col min="2321" max="2321" width="9.33203125" style="176" customWidth="1"/>
    <col min="2322" max="2322" width="11.5546875" style="176" customWidth="1"/>
    <col min="2323" max="2323" width="0" style="176" hidden="1" customWidth="1"/>
    <col min="2324" max="2559" width="7.88671875" style="176"/>
    <col min="2560" max="2560" width="3.33203125" style="176" customWidth="1"/>
    <col min="2561" max="2561" width="10.33203125" style="176" customWidth="1"/>
    <col min="2562" max="2562" width="0" style="176" hidden="1" customWidth="1"/>
    <col min="2563" max="2563" width="19.5546875" style="176" customWidth="1"/>
    <col min="2564" max="2564" width="11.6640625" style="176" customWidth="1"/>
    <col min="2565" max="2565" width="48.44140625" style="176" customWidth="1"/>
    <col min="2566" max="2566" width="13.109375" style="176" customWidth="1"/>
    <col min="2567" max="2567" width="12.6640625" style="176" customWidth="1"/>
    <col min="2568" max="2568" width="11.44140625" style="176" customWidth="1"/>
    <col min="2569" max="2569" width="10.88671875" style="176" customWidth="1"/>
    <col min="2570" max="2570" width="7.88671875" style="176" customWidth="1"/>
    <col min="2571" max="2571" width="9.5546875" style="176" customWidth="1"/>
    <col min="2572" max="2572" width="9" style="176" customWidth="1"/>
    <col min="2573" max="2573" width="0" style="176" hidden="1" customWidth="1"/>
    <col min="2574" max="2574" width="10.5546875" style="176" customWidth="1"/>
    <col min="2575" max="2575" width="9.5546875" style="176" customWidth="1"/>
    <col min="2576" max="2576" width="10" style="176" customWidth="1"/>
    <col min="2577" max="2577" width="9.33203125" style="176" customWidth="1"/>
    <col min="2578" max="2578" width="11.5546875" style="176" customWidth="1"/>
    <col min="2579" max="2579" width="0" style="176" hidden="1" customWidth="1"/>
    <col min="2580" max="2815" width="7.88671875" style="176"/>
    <col min="2816" max="2816" width="3.33203125" style="176" customWidth="1"/>
    <col min="2817" max="2817" width="10.33203125" style="176" customWidth="1"/>
    <col min="2818" max="2818" width="0" style="176" hidden="1" customWidth="1"/>
    <col min="2819" max="2819" width="19.5546875" style="176" customWidth="1"/>
    <col min="2820" max="2820" width="11.6640625" style="176" customWidth="1"/>
    <col min="2821" max="2821" width="48.44140625" style="176" customWidth="1"/>
    <col min="2822" max="2822" width="13.109375" style="176" customWidth="1"/>
    <col min="2823" max="2823" width="12.6640625" style="176" customWidth="1"/>
    <col min="2824" max="2824" width="11.44140625" style="176" customWidth="1"/>
    <col min="2825" max="2825" width="10.88671875" style="176" customWidth="1"/>
    <col min="2826" max="2826" width="7.88671875" style="176" customWidth="1"/>
    <col min="2827" max="2827" width="9.5546875" style="176" customWidth="1"/>
    <col min="2828" max="2828" width="9" style="176" customWidth="1"/>
    <col min="2829" max="2829" width="0" style="176" hidden="1" customWidth="1"/>
    <col min="2830" max="2830" width="10.5546875" style="176" customWidth="1"/>
    <col min="2831" max="2831" width="9.5546875" style="176" customWidth="1"/>
    <col min="2832" max="2832" width="10" style="176" customWidth="1"/>
    <col min="2833" max="2833" width="9.33203125" style="176" customWidth="1"/>
    <col min="2834" max="2834" width="11.5546875" style="176" customWidth="1"/>
    <col min="2835" max="2835" width="0" style="176" hidden="1" customWidth="1"/>
    <col min="2836" max="3071" width="7.88671875" style="176"/>
    <col min="3072" max="3072" width="3.33203125" style="176" customWidth="1"/>
    <col min="3073" max="3073" width="10.33203125" style="176" customWidth="1"/>
    <col min="3074" max="3074" width="0" style="176" hidden="1" customWidth="1"/>
    <col min="3075" max="3075" width="19.5546875" style="176" customWidth="1"/>
    <col min="3076" max="3076" width="11.6640625" style="176" customWidth="1"/>
    <col min="3077" max="3077" width="48.44140625" style="176" customWidth="1"/>
    <col min="3078" max="3078" width="13.109375" style="176" customWidth="1"/>
    <col min="3079" max="3079" width="12.6640625" style="176" customWidth="1"/>
    <col min="3080" max="3080" width="11.44140625" style="176" customWidth="1"/>
    <col min="3081" max="3081" width="10.88671875" style="176" customWidth="1"/>
    <col min="3082" max="3082" width="7.88671875" style="176" customWidth="1"/>
    <col min="3083" max="3083" width="9.5546875" style="176" customWidth="1"/>
    <col min="3084" max="3084" width="9" style="176" customWidth="1"/>
    <col min="3085" max="3085" width="0" style="176" hidden="1" customWidth="1"/>
    <col min="3086" max="3086" width="10.5546875" style="176" customWidth="1"/>
    <col min="3087" max="3087" width="9.5546875" style="176" customWidth="1"/>
    <col min="3088" max="3088" width="10" style="176" customWidth="1"/>
    <col min="3089" max="3089" width="9.33203125" style="176" customWidth="1"/>
    <col min="3090" max="3090" width="11.5546875" style="176" customWidth="1"/>
    <col min="3091" max="3091" width="0" style="176" hidden="1" customWidth="1"/>
    <col min="3092" max="3327" width="7.88671875" style="176"/>
    <col min="3328" max="3328" width="3.33203125" style="176" customWidth="1"/>
    <col min="3329" max="3329" width="10.33203125" style="176" customWidth="1"/>
    <col min="3330" max="3330" width="0" style="176" hidden="1" customWidth="1"/>
    <col min="3331" max="3331" width="19.5546875" style="176" customWidth="1"/>
    <col min="3332" max="3332" width="11.6640625" style="176" customWidth="1"/>
    <col min="3333" max="3333" width="48.44140625" style="176" customWidth="1"/>
    <col min="3334" max="3334" width="13.109375" style="176" customWidth="1"/>
    <col min="3335" max="3335" width="12.6640625" style="176" customWidth="1"/>
    <col min="3336" max="3336" width="11.44140625" style="176" customWidth="1"/>
    <col min="3337" max="3337" width="10.88671875" style="176" customWidth="1"/>
    <col min="3338" max="3338" width="7.88671875" style="176" customWidth="1"/>
    <col min="3339" max="3339" width="9.5546875" style="176" customWidth="1"/>
    <col min="3340" max="3340" width="9" style="176" customWidth="1"/>
    <col min="3341" max="3341" width="0" style="176" hidden="1" customWidth="1"/>
    <col min="3342" max="3342" width="10.5546875" style="176" customWidth="1"/>
    <col min="3343" max="3343" width="9.5546875" style="176" customWidth="1"/>
    <col min="3344" max="3344" width="10" style="176" customWidth="1"/>
    <col min="3345" max="3345" width="9.33203125" style="176" customWidth="1"/>
    <col min="3346" max="3346" width="11.5546875" style="176" customWidth="1"/>
    <col min="3347" max="3347" width="0" style="176" hidden="1" customWidth="1"/>
    <col min="3348" max="3583" width="7.88671875" style="176"/>
    <col min="3584" max="3584" width="3.33203125" style="176" customWidth="1"/>
    <col min="3585" max="3585" width="10.33203125" style="176" customWidth="1"/>
    <col min="3586" max="3586" width="0" style="176" hidden="1" customWidth="1"/>
    <col min="3587" max="3587" width="19.5546875" style="176" customWidth="1"/>
    <col min="3588" max="3588" width="11.6640625" style="176" customWidth="1"/>
    <col min="3589" max="3589" width="48.44140625" style="176" customWidth="1"/>
    <col min="3590" max="3590" width="13.109375" style="176" customWidth="1"/>
    <col min="3591" max="3591" width="12.6640625" style="176" customWidth="1"/>
    <col min="3592" max="3592" width="11.44140625" style="176" customWidth="1"/>
    <col min="3593" max="3593" width="10.88671875" style="176" customWidth="1"/>
    <col min="3594" max="3594" width="7.88671875" style="176" customWidth="1"/>
    <col min="3595" max="3595" width="9.5546875" style="176" customWidth="1"/>
    <col min="3596" max="3596" width="9" style="176" customWidth="1"/>
    <col min="3597" max="3597" width="0" style="176" hidden="1" customWidth="1"/>
    <col min="3598" max="3598" width="10.5546875" style="176" customWidth="1"/>
    <col min="3599" max="3599" width="9.5546875" style="176" customWidth="1"/>
    <col min="3600" max="3600" width="10" style="176" customWidth="1"/>
    <col min="3601" max="3601" width="9.33203125" style="176" customWidth="1"/>
    <col min="3602" max="3602" width="11.5546875" style="176" customWidth="1"/>
    <col min="3603" max="3603" width="0" style="176" hidden="1" customWidth="1"/>
    <col min="3604" max="3839" width="7.88671875" style="176"/>
    <col min="3840" max="3840" width="3.33203125" style="176" customWidth="1"/>
    <col min="3841" max="3841" width="10.33203125" style="176" customWidth="1"/>
    <col min="3842" max="3842" width="0" style="176" hidden="1" customWidth="1"/>
    <col min="3843" max="3843" width="19.5546875" style="176" customWidth="1"/>
    <col min="3844" max="3844" width="11.6640625" style="176" customWidth="1"/>
    <col min="3845" max="3845" width="48.44140625" style="176" customWidth="1"/>
    <col min="3846" max="3846" width="13.109375" style="176" customWidth="1"/>
    <col min="3847" max="3847" width="12.6640625" style="176" customWidth="1"/>
    <col min="3848" max="3848" width="11.44140625" style="176" customWidth="1"/>
    <col min="3849" max="3849" width="10.88671875" style="176" customWidth="1"/>
    <col min="3850" max="3850" width="7.88671875" style="176" customWidth="1"/>
    <col min="3851" max="3851" width="9.5546875" style="176" customWidth="1"/>
    <col min="3852" max="3852" width="9" style="176" customWidth="1"/>
    <col min="3853" max="3853" width="0" style="176" hidden="1" customWidth="1"/>
    <col min="3854" max="3854" width="10.5546875" style="176" customWidth="1"/>
    <col min="3855" max="3855" width="9.5546875" style="176" customWidth="1"/>
    <col min="3856" max="3856" width="10" style="176" customWidth="1"/>
    <col min="3857" max="3857" width="9.33203125" style="176" customWidth="1"/>
    <col min="3858" max="3858" width="11.5546875" style="176" customWidth="1"/>
    <col min="3859" max="3859" width="0" style="176" hidden="1" customWidth="1"/>
    <col min="3860" max="4095" width="7.88671875" style="176"/>
    <col min="4096" max="4096" width="3.33203125" style="176" customWidth="1"/>
    <col min="4097" max="4097" width="10.33203125" style="176" customWidth="1"/>
    <col min="4098" max="4098" width="0" style="176" hidden="1" customWidth="1"/>
    <col min="4099" max="4099" width="19.5546875" style="176" customWidth="1"/>
    <col min="4100" max="4100" width="11.6640625" style="176" customWidth="1"/>
    <col min="4101" max="4101" width="48.44140625" style="176" customWidth="1"/>
    <col min="4102" max="4102" width="13.109375" style="176" customWidth="1"/>
    <col min="4103" max="4103" width="12.6640625" style="176" customWidth="1"/>
    <col min="4104" max="4104" width="11.44140625" style="176" customWidth="1"/>
    <col min="4105" max="4105" width="10.88671875" style="176" customWidth="1"/>
    <col min="4106" max="4106" width="7.88671875" style="176" customWidth="1"/>
    <col min="4107" max="4107" width="9.5546875" style="176" customWidth="1"/>
    <col min="4108" max="4108" width="9" style="176" customWidth="1"/>
    <col min="4109" max="4109" width="0" style="176" hidden="1" customWidth="1"/>
    <col min="4110" max="4110" width="10.5546875" style="176" customWidth="1"/>
    <col min="4111" max="4111" width="9.5546875" style="176" customWidth="1"/>
    <col min="4112" max="4112" width="10" style="176" customWidth="1"/>
    <col min="4113" max="4113" width="9.33203125" style="176" customWidth="1"/>
    <col min="4114" max="4114" width="11.5546875" style="176" customWidth="1"/>
    <col min="4115" max="4115" width="0" style="176" hidden="1" customWidth="1"/>
    <col min="4116" max="4351" width="7.88671875" style="176"/>
    <col min="4352" max="4352" width="3.33203125" style="176" customWidth="1"/>
    <col min="4353" max="4353" width="10.33203125" style="176" customWidth="1"/>
    <col min="4354" max="4354" width="0" style="176" hidden="1" customWidth="1"/>
    <col min="4355" max="4355" width="19.5546875" style="176" customWidth="1"/>
    <col min="4356" max="4356" width="11.6640625" style="176" customWidth="1"/>
    <col min="4357" max="4357" width="48.44140625" style="176" customWidth="1"/>
    <col min="4358" max="4358" width="13.109375" style="176" customWidth="1"/>
    <col min="4359" max="4359" width="12.6640625" style="176" customWidth="1"/>
    <col min="4360" max="4360" width="11.44140625" style="176" customWidth="1"/>
    <col min="4361" max="4361" width="10.88671875" style="176" customWidth="1"/>
    <col min="4362" max="4362" width="7.88671875" style="176" customWidth="1"/>
    <col min="4363" max="4363" width="9.5546875" style="176" customWidth="1"/>
    <col min="4364" max="4364" width="9" style="176" customWidth="1"/>
    <col min="4365" max="4365" width="0" style="176" hidden="1" customWidth="1"/>
    <col min="4366" max="4366" width="10.5546875" style="176" customWidth="1"/>
    <col min="4367" max="4367" width="9.5546875" style="176" customWidth="1"/>
    <col min="4368" max="4368" width="10" style="176" customWidth="1"/>
    <col min="4369" max="4369" width="9.33203125" style="176" customWidth="1"/>
    <col min="4370" max="4370" width="11.5546875" style="176" customWidth="1"/>
    <col min="4371" max="4371" width="0" style="176" hidden="1" customWidth="1"/>
    <col min="4372" max="4607" width="7.88671875" style="176"/>
    <col min="4608" max="4608" width="3.33203125" style="176" customWidth="1"/>
    <col min="4609" max="4609" width="10.33203125" style="176" customWidth="1"/>
    <col min="4610" max="4610" width="0" style="176" hidden="1" customWidth="1"/>
    <col min="4611" max="4611" width="19.5546875" style="176" customWidth="1"/>
    <col min="4612" max="4612" width="11.6640625" style="176" customWidth="1"/>
    <col min="4613" max="4613" width="48.44140625" style="176" customWidth="1"/>
    <col min="4614" max="4614" width="13.109375" style="176" customWidth="1"/>
    <col min="4615" max="4615" width="12.6640625" style="176" customWidth="1"/>
    <col min="4616" max="4616" width="11.44140625" style="176" customWidth="1"/>
    <col min="4617" max="4617" width="10.88671875" style="176" customWidth="1"/>
    <col min="4618" max="4618" width="7.88671875" style="176" customWidth="1"/>
    <col min="4619" max="4619" width="9.5546875" style="176" customWidth="1"/>
    <col min="4620" max="4620" width="9" style="176" customWidth="1"/>
    <col min="4621" max="4621" width="0" style="176" hidden="1" customWidth="1"/>
    <col min="4622" max="4622" width="10.5546875" style="176" customWidth="1"/>
    <col min="4623" max="4623" width="9.5546875" style="176" customWidth="1"/>
    <col min="4624" max="4624" width="10" style="176" customWidth="1"/>
    <col min="4625" max="4625" width="9.33203125" style="176" customWidth="1"/>
    <col min="4626" max="4626" width="11.5546875" style="176" customWidth="1"/>
    <col min="4627" max="4627" width="0" style="176" hidden="1" customWidth="1"/>
    <col min="4628" max="4863" width="7.88671875" style="176"/>
    <col min="4864" max="4864" width="3.33203125" style="176" customWidth="1"/>
    <col min="4865" max="4865" width="10.33203125" style="176" customWidth="1"/>
    <col min="4866" max="4866" width="0" style="176" hidden="1" customWidth="1"/>
    <col min="4867" max="4867" width="19.5546875" style="176" customWidth="1"/>
    <col min="4868" max="4868" width="11.6640625" style="176" customWidth="1"/>
    <col min="4869" max="4869" width="48.44140625" style="176" customWidth="1"/>
    <col min="4870" max="4870" width="13.109375" style="176" customWidth="1"/>
    <col min="4871" max="4871" width="12.6640625" style="176" customWidth="1"/>
    <col min="4872" max="4872" width="11.44140625" style="176" customWidth="1"/>
    <col min="4873" max="4873" width="10.88671875" style="176" customWidth="1"/>
    <col min="4874" max="4874" width="7.88671875" style="176" customWidth="1"/>
    <col min="4875" max="4875" width="9.5546875" style="176" customWidth="1"/>
    <col min="4876" max="4876" width="9" style="176" customWidth="1"/>
    <col min="4877" max="4877" width="0" style="176" hidden="1" customWidth="1"/>
    <col min="4878" max="4878" width="10.5546875" style="176" customWidth="1"/>
    <col min="4879" max="4879" width="9.5546875" style="176" customWidth="1"/>
    <col min="4880" max="4880" width="10" style="176" customWidth="1"/>
    <col min="4881" max="4881" width="9.33203125" style="176" customWidth="1"/>
    <col min="4882" max="4882" width="11.5546875" style="176" customWidth="1"/>
    <col min="4883" max="4883" width="0" style="176" hidden="1" customWidth="1"/>
    <col min="4884" max="5119" width="7.88671875" style="176"/>
    <col min="5120" max="5120" width="3.33203125" style="176" customWidth="1"/>
    <col min="5121" max="5121" width="10.33203125" style="176" customWidth="1"/>
    <col min="5122" max="5122" width="0" style="176" hidden="1" customWidth="1"/>
    <col min="5123" max="5123" width="19.5546875" style="176" customWidth="1"/>
    <col min="5124" max="5124" width="11.6640625" style="176" customWidth="1"/>
    <col min="5125" max="5125" width="48.44140625" style="176" customWidth="1"/>
    <col min="5126" max="5126" width="13.109375" style="176" customWidth="1"/>
    <col min="5127" max="5127" width="12.6640625" style="176" customWidth="1"/>
    <col min="5128" max="5128" width="11.44140625" style="176" customWidth="1"/>
    <col min="5129" max="5129" width="10.88671875" style="176" customWidth="1"/>
    <col min="5130" max="5130" width="7.88671875" style="176" customWidth="1"/>
    <col min="5131" max="5131" width="9.5546875" style="176" customWidth="1"/>
    <col min="5132" max="5132" width="9" style="176" customWidth="1"/>
    <col min="5133" max="5133" width="0" style="176" hidden="1" customWidth="1"/>
    <col min="5134" max="5134" width="10.5546875" style="176" customWidth="1"/>
    <col min="5135" max="5135" width="9.5546875" style="176" customWidth="1"/>
    <col min="5136" max="5136" width="10" style="176" customWidth="1"/>
    <col min="5137" max="5137" width="9.33203125" style="176" customWidth="1"/>
    <col min="5138" max="5138" width="11.5546875" style="176" customWidth="1"/>
    <col min="5139" max="5139" width="0" style="176" hidden="1" customWidth="1"/>
    <col min="5140" max="5375" width="7.88671875" style="176"/>
    <col min="5376" max="5376" width="3.33203125" style="176" customWidth="1"/>
    <col min="5377" max="5377" width="10.33203125" style="176" customWidth="1"/>
    <col min="5378" max="5378" width="0" style="176" hidden="1" customWidth="1"/>
    <col min="5379" max="5379" width="19.5546875" style="176" customWidth="1"/>
    <col min="5380" max="5380" width="11.6640625" style="176" customWidth="1"/>
    <col min="5381" max="5381" width="48.44140625" style="176" customWidth="1"/>
    <col min="5382" max="5382" width="13.109375" style="176" customWidth="1"/>
    <col min="5383" max="5383" width="12.6640625" style="176" customWidth="1"/>
    <col min="5384" max="5384" width="11.44140625" style="176" customWidth="1"/>
    <col min="5385" max="5385" width="10.88671875" style="176" customWidth="1"/>
    <col min="5386" max="5386" width="7.88671875" style="176" customWidth="1"/>
    <col min="5387" max="5387" width="9.5546875" style="176" customWidth="1"/>
    <col min="5388" max="5388" width="9" style="176" customWidth="1"/>
    <col min="5389" max="5389" width="0" style="176" hidden="1" customWidth="1"/>
    <col min="5390" max="5390" width="10.5546875" style="176" customWidth="1"/>
    <col min="5391" max="5391" width="9.5546875" style="176" customWidth="1"/>
    <col min="5392" max="5392" width="10" style="176" customWidth="1"/>
    <col min="5393" max="5393" width="9.33203125" style="176" customWidth="1"/>
    <col min="5394" max="5394" width="11.5546875" style="176" customWidth="1"/>
    <col min="5395" max="5395" width="0" style="176" hidden="1" customWidth="1"/>
    <col min="5396" max="5631" width="7.88671875" style="176"/>
    <col min="5632" max="5632" width="3.33203125" style="176" customWidth="1"/>
    <col min="5633" max="5633" width="10.33203125" style="176" customWidth="1"/>
    <col min="5634" max="5634" width="0" style="176" hidden="1" customWidth="1"/>
    <col min="5635" max="5635" width="19.5546875" style="176" customWidth="1"/>
    <col min="5636" max="5636" width="11.6640625" style="176" customWidth="1"/>
    <col min="5637" max="5637" width="48.44140625" style="176" customWidth="1"/>
    <col min="5638" max="5638" width="13.109375" style="176" customWidth="1"/>
    <col min="5639" max="5639" width="12.6640625" style="176" customWidth="1"/>
    <col min="5640" max="5640" width="11.44140625" style="176" customWidth="1"/>
    <col min="5641" max="5641" width="10.88671875" style="176" customWidth="1"/>
    <col min="5642" max="5642" width="7.88671875" style="176" customWidth="1"/>
    <col min="5643" max="5643" width="9.5546875" style="176" customWidth="1"/>
    <col min="5644" max="5644" width="9" style="176" customWidth="1"/>
    <col min="5645" max="5645" width="0" style="176" hidden="1" customWidth="1"/>
    <col min="5646" max="5646" width="10.5546875" style="176" customWidth="1"/>
    <col min="5647" max="5647" width="9.5546875" style="176" customWidth="1"/>
    <col min="5648" max="5648" width="10" style="176" customWidth="1"/>
    <col min="5649" max="5649" width="9.33203125" style="176" customWidth="1"/>
    <col min="5650" max="5650" width="11.5546875" style="176" customWidth="1"/>
    <col min="5651" max="5651" width="0" style="176" hidden="1" customWidth="1"/>
    <col min="5652" max="5887" width="7.88671875" style="176"/>
    <col min="5888" max="5888" width="3.33203125" style="176" customWidth="1"/>
    <col min="5889" max="5889" width="10.33203125" style="176" customWidth="1"/>
    <col min="5890" max="5890" width="0" style="176" hidden="1" customWidth="1"/>
    <col min="5891" max="5891" width="19.5546875" style="176" customWidth="1"/>
    <col min="5892" max="5892" width="11.6640625" style="176" customWidth="1"/>
    <col min="5893" max="5893" width="48.44140625" style="176" customWidth="1"/>
    <col min="5894" max="5894" width="13.109375" style="176" customWidth="1"/>
    <col min="5895" max="5895" width="12.6640625" style="176" customWidth="1"/>
    <col min="5896" max="5896" width="11.44140625" style="176" customWidth="1"/>
    <col min="5897" max="5897" width="10.88671875" style="176" customWidth="1"/>
    <col min="5898" max="5898" width="7.88671875" style="176" customWidth="1"/>
    <col min="5899" max="5899" width="9.5546875" style="176" customWidth="1"/>
    <col min="5900" max="5900" width="9" style="176" customWidth="1"/>
    <col min="5901" max="5901" width="0" style="176" hidden="1" customWidth="1"/>
    <col min="5902" max="5902" width="10.5546875" style="176" customWidth="1"/>
    <col min="5903" max="5903" width="9.5546875" style="176" customWidth="1"/>
    <col min="5904" max="5904" width="10" style="176" customWidth="1"/>
    <col min="5905" max="5905" width="9.33203125" style="176" customWidth="1"/>
    <col min="5906" max="5906" width="11.5546875" style="176" customWidth="1"/>
    <col min="5907" max="5907" width="0" style="176" hidden="1" customWidth="1"/>
    <col min="5908" max="6143" width="7.88671875" style="176"/>
    <col min="6144" max="6144" width="3.33203125" style="176" customWidth="1"/>
    <col min="6145" max="6145" width="10.33203125" style="176" customWidth="1"/>
    <col min="6146" max="6146" width="0" style="176" hidden="1" customWidth="1"/>
    <col min="6147" max="6147" width="19.5546875" style="176" customWidth="1"/>
    <col min="6148" max="6148" width="11.6640625" style="176" customWidth="1"/>
    <col min="6149" max="6149" width="48.44140625" style="176" customWidth="1"/>
    <col min="6150" max="6150" width="13.109375" style="176" customWidth="1"/>
    <col min="6151" max="6151" width="12.6640625" style="176" customWidth="1"/>
    <col min="6152" max="6152" width="11.44140625" style="176" customWidth="1"/>
    <col min="6153" max="6153" width="10.88671875" style="176" customWidth="1"/>
    <col min="6154" max="6154" width="7.88671875" style="176" customWidth="1"/>
    <col min="6155" max="6155" width="9.5546875" style="176" customWidth="1"/>
    <col min="6156" max="6156" width="9" style="176" customWidth="1"/>
    <col min="6157" max="6157" width="0" style="176" hidden="1" customWidth="1"/>
    <col min="6158" max="6158" width="10.5546875" style="176" customWidth="1"/>
    <col min="6159" max="6159" width="9.5546875" style="176" customWidth="1"/>
    <col min="6160" max="6160" width="10" style="176" customWidth="1"/>
    <col min="6161" max="6161" width="9.33203125" style="176" customWidth="1"/>
    <col min="6162" max="6162" width="11.5546875" style="176" customWidth="1"/>
    <col min="6163" max="6163" width="0" style="176" hidden="1" customWidth="1"/>
    <col min="6164" max="6399" width="7.88671875" style="176"/>
    <col min="6400" max="6400" width="3.33203125" style="176" customWidth="1"/>
    <col min="6401" max="6401" width="10.33203125" style="176" customWidth="1"/>
    <col min="6402" max="6402" width="0" style="176" hidden="1" customWidth="1"/>
    <col min="6403" max="6403" width="19.5546875" style="176" customWidth="1"/>
    <col min="6404" max="6404" width="11.6640625" style="176" customWidth="1"/>
    <col min="6405" max="6405" width="48.44140625" style="176" customWidth="1"/>
    <col min="6406" max="6406" width="13.109375" style="176" customWidth="1"/>
    <col min="6407" max="6407" width="12.6640625" style="176" customWidth="1"/>
    <col min="6408" max="6408" width="11.44140625" style="176" customWidth="1"/>
    <col min="6409" max="6409" width="10.88671875" style="176" customWidth="1"/>
    <col min="6410" max="6410" width="7.88671875" style="176" customWidth="1"/>
    <col min="6411" max="6411" width="9.5546875" style="176" customWidth="1"/>
    <col min="6412" max="6412" width="9" style="176" customWidth="1"/>
    <col min="6413" max="6413" width="0" style="176" hidden="1" customWidth="1"/>
    <col min="6414" max="6414" width="10.5546875" style="176" customWidth="1"/>
    <col min="6415" max="6415" width="9.5546875" style="176" customWidth="1"/>
    <col min="6416" max="6416" width="10" style="176" customWidth="1"/>
    <col min="6417" max="6417" width="9.33203125" style="176" customWidth="1"/>
    <col min="6418" max="6418" width="11.5546875" style="176" customWidth="1"/>
    <col min="6419" max="6419" width="0" style="176" hidden="1" customWidth="1"/>
    <col min="6420" max="6655" width="7.88671875" style="176"/>
    <col min="6656" max="6656" width="3.33203125" style="176" customWidth="1"/>
    <col min="6657" max="6657" width="10.33203125" style="176" customWidth="1"/>
    <col min="6658" max="6658" width="0" style="176" hidden="1" customWidth="1"/>
    <col min="6659" max="6659" width="19.5546875" style="176" customWidth="1"/>
    <col min="6660" max="6660" width="11.6640625" style="176" customWidth="1"/>
    <col min="6661" max="6661" width="48.44140625" style="176" customWidth="1"/>
    <col min="6662" max="6662" width="13.109375" style="176" customWidth="1"/>
    <col min="6663" max="6663" width="12.6640625" style="176" customWidth="1"/>
    <col min="6664" max="6664" width="11.44140625" style="176" customWidth="1"/>
    <col min="6665" max="6665" width="10.88671875" style="176" customWidth="1"/>
    <col min="6666" max="6666" width="7.88671875" style="176" customWidth="1"/>
    <col min="6667" max="6667" width="9.5546875" style="176" customWidth="1"/>
    <col min="6668" max="6668" width="9" style="176" customWidth="1"/>
    <col min="6669" max="6669" width="0" style="176" hidden="1" customWidth="1"/>
    <col min="6670" max="6670" width="10.5546875" style="176" customWidth="1"/>
    <col min="6671" max="6671" width="9.5546875" style="176" customWidth="1"/>
    <col min="6672" max="6672" width="10" style="176" customWidth="1"/>
    <col min="6673" max="6673" width="9.33203125" style="176" customWidth="1"/>
    <col min="6674" max="6674" width="11.5546875" style="176" customWidth="1"/>
    <col min="6675" max="6675" width="0" style="176" hidden="1" customWidth="1"/>
    <col min="6676" max="6911" width="7.88671875" style="176"/>
    <col min="6912" max="6912" width="3.33203125" style="176" customWidth="1"/>
    <col min="6913" max="6913" width="10.33203125" style="176" customWidth="1"/>
    <col min="6914" max="6914" width="0" style="176" hidden="1" customWidth="1"/>
    <col min="6915" max="6915" width="19.5546875" style="176" customWidth="1"/>
    <col min="6916" max="6916" width="11.6640625" style="176" customWidth="1"/>
    <col min="6917" max="6917" width="48.44140625" style="176" customWidth="1"/>
    <col min="6918" max="6918" width="13.109375" style="176" customWidth="1"/>
    <col min="6919" max="6919" width="12.6640625" style="176" customWidth="1"/>
    <col min="6920" max="6920" width="11.44140625" style="176" customWidth="1"/>
    <col min="6921" max="6921" width="10.88671875" style="176" customWidth="1"/>
    <col min="6922" max="6922" width="7.88671875" style="176" customWidth="1"/>
    <col min="6923" max="6923" width="9.5546875" style="176" customWidth="1"/>
    <col min="6924" max="6924" width="9" style="176" customWidth="1"/>
    <col min="6925" max="6925" width="0" style="176" hidden="1" customWidth="1"/>
    <col min="6926" max="6926" width="10.5546875" style="176" customWidth="1"/>
    <col min="6927" max="6927" width="9.5546875" style="176" customWidth="1"/>
    <col min="6928" max="6928" width="10" style="176" customWidth="1"/>
    <col min="6929" max="6929" width="9.33203125" style="176" customWidth="1"/>
    <col min="6930" max="6930" width="11.5546875" style="176" customWidth="1"/>
    <col min="6931" max="6931" width="0" style="176" hidden="1" customWidth="1"/>
    <col min="6932" max="7167" width="7.88671875" style="176"/>
    <col min="7168" max="7168" width="3.33203125" style="176" customWidth="1"/>
    <col min="7169" max="7169" width="10.33203125" style="176" customWidth="1"/>
    <col min="7170" max="7170" width="0" style="176" hidden="1" customWidth="1"/>
    <col min="7171" max="7171" width="19.5546875" style="176" customWidth="1"/>
    <col min="7172" max="7172" width="11.6640625" style="176" customWidth="1"/>
    <col min="7173" max="7173" width="48.44140625" style="176" customWidth="1"/>
    <col min="7174" max="7174" width="13.109375" style="176" customWidth="1"/>
    <col min="7175" max="7175" width="12.6640625" style="176" customWidth="1"/>
    <col min="7176" max="7176" width="11.44140625" style="176" customWidth="1"/>
    <col min="7177" max="7177" width="10.88671875" style="176" customWidth="1"/>
    <col min="7178" max="7178" width="7.88671875" style="176" customWidth="1"/>
    <col min="7179" max="7179" width="9.5546875" style="176" customWidth="1"/>
    <col min="7180" max="7180" width="9" style="176" customWidth="1"/>
    <col min="7181" max="7181" width="0" style="176" hidden="1" customWidth="1"/>
    <col min="7182" max="7182" width="10.5546875" style="176" customWidth="1"/>
    <col min="7183" max="7183" width="9.5546875" style="176" customWidth="1"/>
    <col min="7184" max="7184" width="10" style="176" customWidth="1"/>
    <col min="7185" max="7185" width="9.33203125" style="176" customWidth="1"/>
    <col min="7186" max="7186" width="11.5546875" style="176" customWidth="1"/>
    <col min="7187" max="7187" width="0" style="176" hidden="1" customWidth="1"/>
    <col min="7188" max="7423" width="7.88671875" style="176"/>
    <col min="7424" max="7424" width="3.33203125" style="176" customWidth="1"/>
    <col min="7425" max="7425" width="10.33203125" style="176" customWidth="1"/>
    <col min="7426" max="7426" width="0" style="176" hidden="1" customWidth="1"/>
    <col min="7427" max="7427" width="19.5546875" style="176" customWidth="1"/>
    <col min="7428" max="7428" width="11.6640625" style="176" customWidth="1"/>
    <col min="7429" max="7429" width="48.44140625" style="176" customWidth="1"/>
    <col min="7430" max="7430" width="13.109375" style="176" customWidth="1"/>
    <col min="7431" max="7431" width="12.6640625" style="176" customWidth="1"/>
    <col min="7432" max="7432" width="11.44140625" style="176" customWidth="1"/>
    <col min="7433" max="7433" width="10.88671875" style="176" customWidth="1"/>
    <col min="7434" max="7434" width="7.88671875" style="176" customWidth="1"/>
    <col min="7435" max="7435" width="9.5546875" style="176" customWidth="1"/>
    <col min="7436" max="7436" width="9" style="176" customWidth="1"/>
    <col min="7437" max="7437" width="0" style="176" hidden="1" customWidth="1"/>
    <col min="7438" max="7438" width="10.5546875" style="176" customWidth="1"/>
    <col min="7439" max="7439" width="9.5546875" style="176" customWidth="1"/>
    <col min="7440" max="7440" width="10" style="176" customWidth="1"/>
    <col min="7441" max="7441" width="9.33203125" style="176" customWidth="1"/>
    <col min="7442" max="7442" width="11.5546875" style="176" customWidth="1"/>
    <col min="7443" max="7443" width="0" style="176" hidden="1" customWidth="1"/>
    <col min="7444" max="7679" width="7.88671875" style="176"/>
    <col min="7680" max="7680" width="3.33203125" style="176" customWidth="1"/>
    <col min="7681" max="7681" width="10.33203125" style="176" customWidth="1"/>
    <col min="7682" max="7682" width="0" style="176" hidden="1" customWidth="1"/>
    <col min="7683" max="7683" width="19.5546875" style="176" customWidth="1"/>
    <col min="7684" max="7684" width="11.6640625" style="176" customWidth="1"/>
    <col min="7685" max="7685" width="48.44140625" style="176" customWidth="1"/>
    <col min="7686" max="7686" width="13.109375" style="176" customWidth="1"/>
    <col min="7687" max="7687" width="12.6640625" style="176" customWidth="1"/>
    <col min="7688" max="7688" width="11.44140625" style="176" customWidth="1"/>
    <col min="7689" max="7689" width="10.88671875" style="176" customWidth="1"/>
    <col min="7690" max="7690" width="7.88671875" style="176" customWidth="1"/>
    <col min="7691" max="7691" width="9.5546875" style="176" customWidth="1"/>
    <col min="7692" max="7692" width="9" style="176" customWidth="1"/>
    <col min="7693" max="7693" width="0" style="176" hidden="1" customWidth="1"/>
    <col min="7694" max="7694" width="10.5546875" style="176" customWidth="1"/>
    <col min="7695" max="7695" width="9.5546875" style="176" customWidth="1"/>
    <col min="7696" max="7696" width="10" style="176" customWidth="1"/>
    <col min="7697" max="7697" width="9.33203125" style="176" customWidth="1"/>
    <col min="7698" max="7698" width="11.5546875" style="176" customWidth="1"/>
    <col min="7699" max="7699" width="0" style="176" hidden="1" customWidth="1"/>
    <col min="7700" max="7935" width="7.88671875" style="176"/>
    <col min="7936" max="7936" width="3.33203125" style="176" customWidth="1"/>
    <col min="7937" max="7937" width="10.33203125" style="176" customWidth="1"/>
    <col min="7938" max="7938" width="0" style="176" hidden="1" customWidth="1"/>
    <col min="7939" max="7939" width="19.5546875" style="176" customWidth="1"/>
    <col min="7940" max="7940" width="11.6640625" style="176" customWidth="1"/>
    <col min="7941" max="7941" width="48.44140625" style="176" customWidth="1"/>
    <col min="7942" max="7942" width="13.109375" style="176" customWidth="1"/>
    <col min="7943" max="7943" width="12.6640625" style="176" customWidth="1"/>
    <col min="7944" max="7944" width="11.44140625" style="176" customWidth="1"/>
    <col min="7945" max="7945" width="10.88671875" style="176" customWidth="1"/>
    <col min="7946" max="7946" width="7.88671875" style="176" customWidth="1"/>
    <col min="7947" max="7947" width="9.5546875" style="176" customWidth="1"/>
    <col min="7948" max="7948" width="9" style="176" customWidth="1"/>
    <col min="7949" max="7949" width="0" style="176" hidden="1" customWidth="1"/>
    <col min="7950" max="7950" width="10.5546875" style="176" customWidth="1"/>
    <col min="7951" max="7951" width="9.5546875" style="176" customWidth="1"/>
    <col min="7952" max="7952" width="10" style="176" customWidth="1"/>
    <col min="7953" max="7953" width="9.33203125" style="176" customWidth="1"/>
    <col min="7954" max="7954" width="11.5546875" style="176" customWidth="1"/>
    <col min="7955" max="7955" width="0" style="176" hidden="1" customWidth="1"/>
    <col min="7956" max="8191" width="7.88671875" style="176"/>
    <col min="8192" max="8192" width="3.33203125" style="176" customWidth="1"/>
    <col min="8193" max="8193" width="10.33203125" style="176" customWidth="1"/>
    <col min="8194" max="8194" width="0" style="176" hidden="1" customWidth="1"/>
    <col min="8195" max="8195" width="19.5546875" style="176" customWidth="1"/>
    <col min="8196" max="8196" width="11.6640625" style="176" customWidth="1"/>
    <col min="8197" max="8197" width="48.44140625" style="176" customWidth="1"/>
    <col min="8198" max="8198" width="13.109375" style="176" customWidth="1"/>
    <col min="8199" max="8199" width="12.6640625" style="176" customWidth="1"/>
    <col min="8200" max="8200" width="11.44140625" style="176" customWidth="1"/>
    <col min="8201" max="8201" width="10.88671875" style="176" customWidth="1"/>
    <col min="8202" max="8202" width="7.88671875" style="176" customWidth="1"/>
    <col min="8203" max="8203" width="9.5546875" style="176" customWidth="1"/>
    <col min="8204" max="8204" width="9" style="176" customWidth="1"/>
    <col min="8205" max="8205" width="0" style="176" hidden="1" customWidth="1"/>
    <col min="8206" max="8206" width="10.5546875" style="176" customWidth="1"/>
    <col min="8207" max="8207" width="9.5546875" style="176" customWidth="1"/>
    <col min="8208" max="8208" width="10" style="176" customWidth="1"/>
    <col min="8209" max="8209" width="9.33203125" style="176" customWidth="1"/>
    <col min="8210" max="8210" width="11.5546875" style="176" customWidth="1"/>
    <col min="8211" max="8211" width="0" style="176" hidden="1" customWidth="1"/>
    <col min="8212" max="8447" width="7.88671875" style="176"/>
    <col min="8448" max="8448" width="3.33203125" style="176" customWidth="1"/>
    <col min="8449" max="8449" width="10.33203125" style="176" customWidth="1"/>
    <col min="8450" max="8450" width="0" style="176" hidden="1" customWidth="1"/>
    <col min="8451" max="8451" width="19.5546875" style="176" customWidth="1"/>
    <col min="8452" max="8452" width="11.6640625" style="176" customWidth="1"/>
    <col min="8453" max="8453" width="48.44140625" style="176" customWidth="1"/>
    <col min="8454" max="8454" width="13.109375" style="176" customWidth="1"/>
    <col min="8455" max="8455" width="12.6640625" style="176" customWidth="1"/>
    <col min="8456" max="8456" width="11.44140625" style="176" customWidth="1"/>
    <col min="8457" max="8457" width="10.88671875" style="176" customWidth="1"/>
    <col min="8458" max="8458" width="7.88671875" style="176" customWidth="1"/>
    <col min="8459" max="8459" width="9.5546875" style="176" customWidth="1"/>
    <col min="8460" max="8460" width="9" style="176" customWidth="1"/>
    <col min="8461" max="8461" width="0" style="176" hidden="1" customWidth="1"/>
    <col min="8462" max="8462" width="10.5546875" style="176" customWidth="1"/>
    <col min="8463" max="8463" width="9.5546875" style="176" customWidth="1"/>
    <col min="8464" max="8464" width="10" style="176" customWidth="1"/>
    <col min="8465" max="8465" width="9.33203125" style="176" customWidth="1"/>
    <col min="8466" max="8466" width="11.5546875" style="176" customWidth="1"/>
    <col min="8467" max="8467" width="0" style="176" hidden="1" customWidth="1"/>
    <col min="8468" max="8703" width="7.88671875" style="176"/>
    <col min="8704" max="8704" width="3.33203125" style="176" customWidth="1"/>
    <col min="8705" max="8705" width="10.33203125" style="176" customWidth="1"/>
    <col min="8706" max="8706" width="0" style="176" hidden="1" customWidth="1"/>
    <col min="8707" max="8707" width="19.5546875" style="176" customWidth="1"/>
    <col min="8708" max="8708" width="11.6640625" style="176" customWidth="1"/>
    <col min="8709" max="8709" width="48.44140625" style="176" customWidth="1"/>
    <col min="8710" max="8710" width="13.109375" style="176" customWidth="1"/>
    <col min="8711" max="8711" width="12.6640625" style="176" customWidth="1"/>
    <col min="8712" max="8712" width="11.44140625" style="176" customWidth="1"/>
    <col min="8713" max="8713" width="10.88671875" style="176" customWidth="1"/>
    <col min="8714" max="8714" width="7.88671875" style="176" customWidth="1"/>
    <col min="8715" max="8715" width="9.5546875" style="176" customWidth="1"/>
    <col min="8716" max="8716" width="9" style="176" customWidth="1"/>
    <col min="8717" max="8717" width="0" style="176" hidden="1" customWidth="1"/>
    <col min="8718" max="8718" width="10.5546875" style="176" customWidth="1"/>
    <col min="8719" max="8719" width="9.5546875" style="176" customWidth="1"/>
    <col min="8720" max="8720" width="10" style="176" customWidth="1"/>
    <col min="8721" max="8721" width="9.33203125" style="176" customWidth="1"/>
    <col min="8722" max="8722" width="11.5546875" style="176" customWidth="1"/>
    <col min="8723" max="8723" width="0" style="176" hidden="1" customWidth="1"/>
    <col min="8724" max="8959" width="7.88671875" style="176"/>
    <col min="8960" max="8960" width="3.33203125" style="176" customWidth="1"/>
    <col min="8961" max="8961" width="10.33203125" style="176" customWidth="1"/>
    <col min="8962" max="8962" width="0" style="176" hidden="1" customWidth="1"/>
    <col min="8963" max="8963" width="19.5546875" style="176" customWidth="1"/>
    <col min="8964" max="8964" width="11.6640625" style="176" customWidth="1"/>
    <col min="8965" max="8965" width="48.44140625" style="176" customWidth="1"/>
    <col min="8966" max="8966" width="13.109375" style="176" customWidth="1"/>
    <col min="8967" max="8967" width="12.6640625" style="176" customWidth="1"/>
    <col min="8968" max="8968" width="11.44140625" style="176" customWidth="1"/>
    <col min="8969" max="8969" width="10.88671875" style="176" customWidth="1"/>
    <col min="8970" max="8970" width="7.88671875" style="176" customWidth="1"/>
    <col min="8971" max="8971" width="9.5546875" style="176" customWidth="1"/>
    <col min="8972" max="8972" width="9" style="176" customWidth="1"/>
    <col min="8973" max="8973" width="0" style="176" hidden="1" customWidth="1"/>
    <col min="8974" max="8974" width="10.5546875" style="176" customWidth="1"/>
    <col min="8975" max="8975" width="9.5546875" style="176" customWidth="1"/>
    <col min="8976" max="8976" width="10" style="176" customWidth="1"/>
    <col min="8977" max="8977" width="9.33203125" style="176" customWidth="1"/>
    <col min="8978" max="8978" width="11.5546875" style="176" customWidth="1"/>
    <col min="8979" max="8979" width="0" style="176" hidden="1" customWidth="1"/>
    <col min="8980" max="9215" width="7.88671875" style="176"/>
    <col min="9216" max="9216" width="3.33203125" style="176" customWidth="1"/>
    <col min="9217" max="9217" width="10.33203125" style="176" customWidth="1"/>
    <col min="9218" max="9218" width="0" style="176" hidden="1" customWidth="1"/>
    <col min="9219" max="9219" width="19.5546875" style="176" customWidth="1"/>
    <col min="9220" max="9220" width="11.6640625" style="176" customWidth="1"/>
    <col min="9221" max="9221" width="48.44140625" style="176" customWidth="1"/>
    <col min="9222" max="9222" width="13.109375" style="176" customWidth="1"/>
    <col min="9223" max="9223" width="12.6640625" style="176" customWidth="1"/>
    <col min="9224" max="9224" width="11.44140625" style="176" customWidth="1"/>
    <col min="9225" max="9225" width="10.88671875" style="176" customWidth="1"/>
    <col min="9226" max="9226" width="7.88671875" style="176" customWidth="1"/>
    <col min="9227" max="9227" width="9.5546875" style="176" customWidth="1"/>
    <col min="9228" max="9228" width="9" style="176" customWidth="1"/>
    <col min="9229" max="9229" width="0" style="176" hidden="1" customWidth="1"/>
    <col min="9230" max="9230" width="10.5546875" style="176" customWidth="1"/>
    <col min="9231" max="9231" width="9.5546875" style="176" customWidth="1"/>
    <col min="9232" max="9232" width="10" style="176" customWidth="1"/>
    <col min="9233" max="9233" width="9.33203125" style="176" customWidth="1"/>
    <col min="9234" max="9234" width="11.5546875" style="176" customWidth="1"/>
    <col min="9235" max="9235" width="0" style="176" hidden="1" customWidth="1"/>
    <col min="9236" max="9471" width="7.88671875" style="176"/>
    <col min="9472" max="9472" width="3.33203125" style="176" customWidth="1"/>
    <col min="9473" max="9473" width="10.33203125" style="176" customWidth="1"/>
    <col min="9474" max="9474" width="0" style="176" hidden="1" customWidth="1"/>
    <col min="9475" max="9475" width="19.5546875" style="176" customWidth="1"/>
    <col min="9476" max="9476" width="11.6640625" style="176" customWidth="1"/>
    <col min="9477" max="9477" width="48.44140625" style="176" customWidth="1"/>
    <col min="9478" max="9478" width="13.109375" style="176" customWidth="1"/>
    <col min="9479" max="9479" width="12.6640625" style="176" customWidth="1"/>
    <col min="9480" max="9480" width="11.44140625" style="176" customWidth="1"/>
    <col min="9481" max="9481" width="10.88671875" style="176" customWidth="1"/>
    <col min="9482" max="9482" width="7.88671875" style="176" customWidth="1"/>
    <col min="9483" max="9483" width="9.5546875" style="176" customWidth="1"/>
    <col min="9484" max="9484" width="9" style="176" customWidth="1"/>
    <col min="9485" max="9485" width="0" style="176" hidden="1" customWidth="1"/>
    <col min="9486" max="9486" width="10.5546875" style="176" customWidth="1"/>
    <col min="9487" max="9487" width="9.5546875" style="176" customWidth="1"/>
    <col min="9488" max="9488" width="10" style="176" customWidth="1"/>
    <col min="9489" max="9489" width="9.33203125" style="176" customWidth="1"/>
    <col min="9490" max="9490" width="11.5546875" style="176" customWidth="1"/>
    <col min="9491" max="9491" width="0" style="176" hidden="1" customWidth="1"/>
    <col min="9492" max="9727" width="7.88671875" style="176"/>
    <col min="9728" max="9728" width="3.33203125" style="176" customWidth="1"/>
    <col min="9729" max="9729" width="10.33203125" style="176" customWidth="1"/>
    <col min="9730" max="9730" width="0" style="176" hidden="1" customWidth="1"/>
    <col min="9731" max="9731" width="19.5546875" style="176" customWidth="1"/>
    <col min="9732" max="9732" width="11.6640625" style="176" customWidth="1"/>
    <col min="9733" max="9733" width="48.44140625" style="176" customWidth="1"/>
    <col min="9734" max="9734" width="13.109375" style="176" customWidth="1"/>
    <col min="9735" max="9735" width="12.6640625" style="176" customWidth="1"/>
    <col min="9736" max="9736" width="11.44140625" style="176" customWidth="1"/>
    <col min="9737" max="9737" width="10.88671875" style="176" customWidth="1"/>
    <col min="9738" max="9738" width="7.88671875" style="176" customWidth="1"/>
    <col min="9739" max="9739" width="9.5546875" style="176" customWidth="1"/>
    <col min="9740" max="9740" width="9" style="176" customWidth="1"/>
    <col min="9741" max="9741" width="0" style="176" hidden="1" customWidth="1"/>
    <col min="9742" max="9742" width="10.5546875" style="176" customWidth="1"/>
    <col min="9743" max="9743" width="9.5546875" style="176" customWidth="1"/>
    <col min="9744" max="9744" width="10" style="176" customWidth="1"/>
    <col min="9745" max="9745" width="9.33203125" style="176" customWidth="1"/>
    <col min="9746" max="9746" width="11.5546875" style="176" customWidth="1"/>
    <col min="9747" max="9747" width="0" style="176" hidden="1" customWidth="1"/>
    <col min="9748" max="9983" width="7.88671875" style="176"/>
    <col min="9984" max="9984" width="3.33203125" style="176" customWidth="1"/>
    <col min="9985" max="9985" width="10.33203125" style="176" customWidth="1"/>
    <col min="9986" max="9986" width="0" style="176" hidden="1" customWidth="1"/>
    <col min="9987" max="9987" width="19.5546875" style="176" customWidth="1"/>
    <col min="9988" max="9988" width="11.6640625" style="176" customWidth="1"/>
    <col min="9989" max="9989" width="48.44140625" style="176" customWidth="1"/>
    <col min="9990" max="9990" width="13.109375" style="176" customWidth="1"/>
    <col min="9991" max="9991" width="12.6640625" style="176" customWidth="1"/>
    <col min="9992" max="9992" width="11.44140625" style="176" customWidth="1"/>
    <col min="9993" max="9993" width="10.88671875" style="176" customWidth="1"/>
    <col min="9994" max="9994" width="7.88671875" style="176" customWidth="1"/>
    <col min="9995" max="9995" width="9.5546875" style="176" customWidth="1"/>
    <col min="9996" max="9996" width="9" style="176" customWidth="1"/>
    <col min="9997" max="9997" width="0" style="176" hidden="1" customWidth="1"/>
    <col min="9998" max="9998" width="10.5546875" style="176" customWidth="1"/>
    <col min="9999" max="9999" width="9.5546875" style="176" customWidth="1"/>
    <col min="10000" max="10000" width="10" style="176" customWidth="1"/>
    <col min="10001" max="10001" width="9.33203125" style="176" customWidth="1"/>
    <col min="10002" max="10002" width="11.5546875" style="176" customWidth="1"/>
    <col min="10003" max="10003" width="0" style="176" hidden="1" customWidth="1"/>
    <col min="10004" max="10239" width="7.88671875" style="176"/>
    <col min="10240" max="10240" width="3.33203125" style="176" customWidth="1"/>
    <col min="10241" max="10241" width="10.33203125" style="176" customWidth="1"/>
    <col min="10242" max="10242" width="0" style="176" hidden="1" customWidth="1"/>
    <col min="10243" max="10243" width="19.5546875" style="176" customWidth="1"/>
    <col min="10244" max="10244" width="11.6640625" style="176" customWidth="1"/>
    <col min="10245" max="10245" width="48.44140625" style="176" customWidth="1"/>
    <col min="10246" max="10246" width="13.109375" style="176" customWidth="1"/>
    <col min="10247" max="10247" width="12.6640625" style="176" customWidth="1"/>
    <col min="10248" max="10248" width="11.44140625" style="176" customWidth="1"/>
    <col min="10249" max="10249" width="10.88671875" style="176" customWidth="1"/>
    <col min="10250" max="10250" width="7.88671875" style="176" customWidth="1"/>
    <col min="10251" max="10251" width="9.5546875" style="176" customWidth="1"/>
    <col min="10252" max="10252" width="9" style="176" customWidth="1"/>
    <col min="10253" max="10253" width="0" style="176" hidden="1" customWidth="1"/>
    <col min="10254" max="10254" width="10.5546875" style="176" customWidth="1"/>
    <col min="10255" max="10255" width="9.5546875" style="176" customWidth="1"/>
    <col min="10256" max="10256" width="10" style="176" customWidth="1"/>
    <col min="10257" max="10257" width="9.33203125" style="176" customWidth="1"/>
    <col min="10258" max="10258" width="11.5546875" style="176" customWidth="1"/>
    <col min="10259" max="10259" width="0" style="176" hidden="1" customWidth="1"/>
    <col min="10260" max="10495" width="7.88671875" style="176"/>
    <col min="10496" max="10496" width="3.33203125" style="176" customWidth="1"/>
    <col min="10497" max="10497" width="10.33203125" style="176" customWidth="1"/>
    <col min="10498" max="10498" width="0" style="176" hidden="1" customWidth="1"/>
    <col min="10499" max="10499" width="19.5546875" style="176" customWidth="1"/>
    <col min="10500" max="10500" width="11.6640625" style="176" customWidth="1"/>
    <col min="10501" max="10501" width="48.44140625" style="176" customWidth="1"/>
    <col min="10502" max="10502" width="13.109375" style="176" customWidth="1"/>
    <col min="10503" max="10503" width="12.6640625" style="176" customWidth="1"/>
    <col min="10504" max="10504" width="11.44140625" style="176" customWidth="1"/>
    <col min="10505" max="10505" width="10.88671875" style="176" customWidth="1"/>
    <col min="10506" max="10506" width="7.88671875" style="176" customWidth="1"/>
    <col min="10507" max="10507" width="9.5546875" style="176" customWidth="1"/>
    <col min="10508" max="10508" width="9" style="176" customWidth="1"/>
    <col min="10509" max="10509" width="0" style="176" hidden="1" customWidth="1"/>
    <col min="10510" max="10510" width="10.5546875" style="176" customWidth="1"/>
    <col min="10511" max="10511" width="9.5546875" style="176" customWidth="1"/>
    <col min="10512" max="10512" width="10" style="176" customWidth="1"/>
    <col min="10513" max="10513" width="9.33203125" style="176" customWidth="1"/>
    <col min="10514" max="10514" width="11.5546875" style="176" customWidth="1"/>
    <col min="10515" max="10515" width="0" style="176" hidden="1" customWidth="1"/>
    <col min="10516" max="10751" width="7.88671875" style="176"/>
    <col min="10752" max="10752" width="3.33203125" style="176" customWidth="1"/>
    <col min="10753" max="10753" width="10.33203125" style="176" customWidth="1"/>
    <col min="10754" max="10754" width="0" style="176" hidden="1" customWidth="1"/>
    <col min="10755" max="10755" width="19.5546875" style="176" customWidth="1"/>
    <col min="10756" max="10756" width="11.6640625" style="176" customWidth="1"/>
    <col min="10757" max="10757" width="48.44140625" style="176" customWidth="1"/>
    <col min="10758" max="10758" width="13.109375" style="176" customWidth="1"/>
    <col min="10759" max="10759" width="12.6640625" style="176" customWidth="1"/>
    <col min="10760" max="10760" width="11.44140625" style="176" customWidth="1"/>
    <col min="10761" max="10761" width="10.88671875" style="176" customWidth="1"/>
    <col min="10762" max="10762" width="7.88671875" style="176" customWidth="1"/>
    <col min="10763" max="10763" width="9.5546875" style="176" customWidth="1"/>
    <col min="10764" max="10764" width="9" style="176" customWidth="1"/>
    <col min="10765" max="10765" width="0" style="176" hidden="1" customWidth="1"/>
    <col min="10766" max="10766" width="10.5546875" style="176" customWidth="1"/>
    <col min="10767" max="10767" width="9.5546875" style="176" customWidth="1"/>
    <col min="10768" max="10768" width="10" style="176" customWidth="1"/>
    <col min="10769" max="10769" width="9.33203125" style="176" customWidth="1"/>
    <col min="10770" max="10770" width="11.5546875" style="176" customWidth="1"/>
    <col min="10771" max="10771" width="0" style="176" hidden="1" customWidth="1"/>
    <col min="10772" max="11007" width="7.88671875" style="176"/>
    <col min="11008" max="11008" width="3.33203125" style="176" customWidth="1"/>
    <col min="11009" max="11009" width="10.33203125" style="176" customWidth="1"/>
    <col min="11010" max="11010" width="0" style="176" hidden="1" customWidth="1"/>
    <col min="11011" max="11011" width="19.5546875" style="176" customWidth="1"/>
    <col min="11012" max="11012" width="11.6640625" style="176" customWidth="1"/>
    <col min="11013" max="11013" width="48.44140625" style="176" customWidth="1"/>
    <col min="11014" max="11014" width="13.109375" style="176" customWidth="1"/>
    <col min="11015" max="11015" width="12.6640625" style="176" customWidth="1"/>
    <col min="11016" max="11016" width="11.44140625" style="176" customWidth="1"/>
    <col min="11017" max="11017" width="10.88671875" style="176" customWidth="1"/>
    <col min="11018" max="11018" width="7.88671875" style="176" customWidth="1"/>
    <col min="11019" max="11019" width="9.5546875" style="176" customWidth="1"/>
    <col min="11020" max="11020" width="9" style="176" customWidth="1"/>
    <col min="11021" max="11021" width="0" style="176" hidden="1" customWidth="1"/>
    <col min="11022" max="11022" width="10.5546875" style="176" customWidth="1"/>
    <col min="11023" max="11023" width="9.5546875" style="176" customWidth="1"/>
    <col min="11024" max="11024" width="10" style="176" customWidth="1"/>
    <col min="11025" max="11025" width="9.33203125" style="176" customWidth="1"/>
    <col min="11026" max="11026" width="11.5546875" style="176" customWidth="1"/>
    <col min="11027" max="11027" width="0" style="176" hidden="1" customWidth="1"/>
    <col min="11028" max="11263" width="7.88671875" style="176"/>
    <col min="11264" max="11264" width="3.33203125" style="176" customWidth="1"/>
    <col min="11265" max="11265" width="10.33203125" style="176" customWidth="1"/>
    <col min="11266" max="11266" width="0" style="176" hidden="1" customWidth="1"/>
    <col min="11267" max="11267" width="19.5546875" style="176" customWidth="1"/>
    <col min="11268" max="11268" width="11.6640625" style="176" customWidth="1"/>
    <col min="11269" max="11269" width="48.44140625" style="176" customWidth="1"/>
    <col min="11270" max="11270" width="13.109375" style="176" customWidth="1"/>
    <col min="11271" max="11271" width="12.6640625" style="176" customWidth="1"/>
    <col min="11272" max="11272" width="11.44140625" style="176" customWidth="1"/>
    <col min="11273" max="11273" width="10.88671875" style="176" customWidth="1"/>
    <col min="11274" max="11274" width="7.88671875" style="176" customWidth="1"/>
    <col min="11275" max="11275" width="9.5546875" style="176" customWidth="1"/>
    <col min="11276" max="11276" width="9" style="176" customWidth="1"/>
    <col min="11277" max="11277" width="0" style="176" hidden="1" customWidth="1"/>
    <col min="11278" max="11278" width="10.5546875" style="176" customWidth="1"/>
    <col min="11279" max="11279" width="9.5546875" style="176" customWidth="1"/>
    <col min="11280" max="11280" width="10" style="176" customWidth="1"/>
    <col min="11281" max="11281" width="9.33203125" style="176" customWidth="1"/>
    <col min="11282" max="11282" width="11.5546875" style="176" customWidth="1"/>
    <col min="11283" max="11283" width="0" style="176" hidden="1" customWidth="1"/>
    <col min="11284" max="11519" width="7.88671875" style="176"/>
    <col min="11520" max="11520" width="3.33203125" style="176" customWidth="1"/>
    <col min="11521" max="11521" width="10.33203125" style="176" customWidth="1"/>
    <col min="11522" max="11522" width="0" style="176" hidden="1" customWidth="1"/>
    <col min="11523" max="11523" width="19.5546875" style="176" customWidth="1"/>
    <col min="11524" max="11524" width="11.6640625" style="176" customWidth="1"/>
    <col min="11525" max="11525" width="48.44140625" style="176" customWidth="1"/>
    <col min="11526" max="11526" width="13.109375" style="176" customWidth="1"/>
    <col min="11527" max="11527" width="12.6640625" style="176" customWidth="1"/>
    <col min="11528" max="11528" width="11.44140625" style="176" customWidth="1"/>
    <col min="11529" max="11529" width="10.88671875" style="176" customWidth="1"/>
    <col min="11530" max="11530" width="7.88671875" style="176" customWidth="1"/>
    <col min="11531" max="11531" width="9.5546875" style="176" customWidth="1"/>
    <col min="11532" max="11532" width="9" style="176" customWidth="1"/>
    <col min="11533" max="11533" width="0" style="176" hidden="1" customWidth="1"/>
    <col min="11534" max="11534" width="10.5546875" style="176" customWidth="1"/>
    <col min="11535" max="11535" width="9.5546875" style="176" customWidth="1"/>
    <col min="11536" max="11536" width="10" style="176" customWidth="1"/>
    <col min="11537" max="11537" width="9.33203125" style="176" customWidth="1"/>
    <col min="11538" max="11538" width="11.5546875" style="176" customWidth="1"/>
    <col min="11539" max="11539" width="0" style="176" hidden="1" customWidth="1"/>
    <col min="11540" max="11775" width="7.88671875" style="176"/>
    <col min="11776" max="11776" width="3.33203125" style="176" customWidth="1"/>
    <col min="11777" max="11777" width="10.33203125" style="176" customWidth="1"/>
    <col min="11778" max="11778" width="0" style="176" hidden="1" customWidth="1"/>
    <col min="11779" max="11779" width="19.5546875" style="176" customWidth="1"/>
    <col min="11780" max="11780" width="11.6640625" style="176" customWidth="1"/>
    <col min="11781" max="11781" width="48.44140625" style="176" customWidth="1"/>
    <col min="11782" max="11782" width="13.109375" style="176" customWidth="1"/>
    <col min="11783" max="11783" width="12.6640625" style="176" customWidth="1"/>
    <col min="11784" max="11784" width="11.44140625" style="176" customWidth="1"/>
    <col min="11785" max="11785" width="10.88671875" style="176" customWidth="1"/>
    <col min="11786" max="11786" width="7.88671875" style="176" customWidth="1"/>
    <col min="11787" max="11787" width="9.5546875" style="176" customWidth="1"/>
    <col min="11788" max="11788" width="9" style="176" customWidth="1"/>
    <col min="11789" max="11789" width="0" style="176" hidden="1" customWidth="1"/>
    <col min="11790" max="11790" width="10.5546875" style="176" customWidth="1"/>
    <col min="11791" max="11791" width="9.5546875" style="176" customWidth="1"/>
    <col min="11792" max="11792" width="10" style="176" customWidth="1"/>
    <col min="11793" max="11793" width="9.33203125" style="176" customWidth="1"/>
    <col min="11794" max="11794" width="11.5546875" style="176" customWidth="1"/>
    <col min="11795" max="11795" width="0" style="176" hidden="1" customWidth="1"/>
    <col min="11796" max="12031" width="7.88671875" style="176"/>
    <col min="12032" max="12032" width="3.33203125" style="176" customWidth="1"/>
    <col min="12033" max="12033" width="10.33203125" style="176" customWidth="1"/>
    <col min="12034" max="12034" width="0" style="176" hidden="1" customWidth="1"/>
    <col min="12035" max="12035" width="19.5546875" style="176" customWidth="1"/>
    <col min="12036" max="12036" width="11.6640625" style="176" customWidth="1"/>
    <col min="12037" max="12037" width="48.44140625" style="176" customWidth="1"/>
    <col min="12038" max="12038" width="13.109375" style="176" customWidth="1"/>
    <col min="12039" max="12039" width="12.6640625" style="176" customWidth="1"/>
    <col min="12040" max="12040" width="11.44140625" style="176" customWidth="1"/>
    <col min="12041" max="12041" width="10.88671875" style="176" customWidth="1"/>
    <col min="12042" max="12042" width="7.88671875" style="176" customWidth="1"/>
    <col min="12043" max="12043" width="9.5546875" style="176" customWidth="1"/>
    <col min="12044" max="12044" width="9" style="176" customWidth="1"/>
    <col min="12045" max="12045" width="0" style="176" hidden="1" customWidth="1"/>
    <col min="12046" max="12046" width="10.5546875" style="176" customWidth="1"/>
    <col min="12047" max="12047" width="9.5546875" style="176" customWidth="1"/>
    <col min="12048" max="12048" width="10" style="176" customWidth="1"/>
    <col min="12049" max="12049" width="9.33203125" style="176" customWidth="1"/>
    <col min="12050" max="12050" width="11.5546875" style="176" customWidth="1"/>
    <col min="12051" max="12051" width="0" style="176" hidden="1" customWidth="1"/>
    <col min="12052" max="12287" width="7.88671875" style="176"/>
    <col min="12288" max="12288" width="3.33203125" style="176" customWidth="1"/>
    <col min="12289" max="12289" width="10.33203125" style="176" customWidth="1"/>
    <col min="12290" max="12290" width="0" style="176" hidden="1" customWidth="1"/>
    <col min="12291" max="12291" width="19.5546875" style="176" customWidth="1"/>
    <col min="12292" max="12292" width="11.6640625" style="176" customWidth="1"/>
    <col min="12293" max="12293" width="48.44140625" style="176" customWidth="1"/>
    <col min="12294" max="12294" width="13.109375" style="176" customWidth="1"/>
    <col min="12295" max="12295" width="12.6640625" style="176" customWidth="1"/>
    <col min="12296" max="12296" width="11.44140625" style="176" customWidth="1"/>
    <col min="12297" max="12297" width="10.88671875" style="176" customWidth="1"/>
    <col min="12298" max="12298" width="7.88671875" style="176" customWidth="1"/>
    <col min="12299" max="12299" width="9.5546875" style="176" customWidth="1"/>
    <col min="12300" max="12300" width="9" style="176" customWidth="1"/>
    <col min="12301" max="12301" width="0" style="176" hidden="1" customWidth="1"/>
    <col min="12302" max="12302" width="10.5546875" style="176" customWidth="1"/>
    <col min="12303" max="12303" width="9.5546875" style="176" customWidth="1"/>
    <col min="12304" max="12304" width="10" style="176" customWidth="1"/>
    <col min="12305" max="12305" width="9.33203125" style="176" customWidth="1"/>
    <col min="12306" max="12306" width="11.5546875" style="176" customWidth="1"/>
    <col min="12307" max="12307" width="0" style="176" hidden="1" customWidth="1"/>
    <col min="12308" max="12543" width="7.88671875" style="176"/>
    <col min="12544" max="12544" width="3.33203125" style="176" customWidth="1"/>
    <col min="12545" max="12545" width="10.33203125" style="176" customWidth="1"/>
    <col min="12546" max="12546" width="0" style="176" hidden="1" customWidth="1"/>
    <col min="12547" max="12547" width="19.5546875" style="176" customWidth="1"/>
    <col min="12548" max="12548" width="11.6640625" style="176" customWidth="1"/>
    <col min="12549" max="12549" width="48.44140625" style="176" customWidth="1"/>
    <col min="12550" max="12550" width="13.109375" style="176" customWidth="1"/>
    <col min="12551" max="12551" width="12.6640625" style="176" customWidth="1"/>
    <col min="12552" max="12552" width="11.44140625" style="176" customWidth="1"/>
    <col min="12553" max="12553" width="10.88671875" style="176" customWidth="1"/>
    <col min="12554" max="12554" width="7.88671875" style="176" customWidth="1"/>
    <col min="12555" max="12555" width="9.5546875" style="176" customWidth="1"/>
    <col min="12556" max="12556" width="9" style="176" customWidth="1"/>
    <col min="12557" max="12557" width="0" style="176" hidden="1" customWidth="1"/>
    <col min="12558" max="12558" width="10.5546875" style="176" customWidth="1"/>
    <col min="12559" max="12559" width="9.5546875" style="176" customWidth="1"/>
    <col min="12560" max="12560" width="10" style="176" customWidth="1"/>
    <col min="12561" max="12561" width="9.33203125" style="176" customWidth="1"/>
    <col min="12562" max="12562" width="11.5546875" style="176" customWidth="1"/>
    <col min="12563" max="12563" width="0" style="176" hidden="1" customWidth="1"/>
    <col min="12564" max="12799" width="7.88671875" style="176"/>
    <col min="12800" max="12800" width="3.33203125" style="176" customWidth="1"/>
    <col min="12801" max="12801" width="10.33203125" style="176" customWidth="1"/>
    <col min="12802" max="12802" width="0" style="176" hidden="1" customWidth="1"/>
    <col min="12803" max="12803" width="19.5546875" style="176" customWidth="1"/>
    <col min="12804" max="12804" width="11.6640625" style="176" customWidth="1"/>
    <col min="12805" max="12805" width="48.44140625" style="176" customWidth="1"/>
    <col min="12806" max="12806" width="13.109375" style="176" customWidth="1"/>
    <col min="12807" max="12807" width="12.6640625" style="176" customWidth="1"/>
    <col min="12808" max="12808" width="11.44140625" style="176" customWidth="1"/>
    <col min="12809" max="12809" width="10.88671875" style="176" customWidth="1"/>
    <col min="12810" max="12810" width="7.88671875" style="176" customWidth="1"/>
    <col min="12811" max="12811" width="9.5546875" style="176" customWidth="1"/>
    <col min="12812" max="12812" width="9" style="176" customWidth="1"/>
    <col min="12813" max="12813" width="0" style="176" hidden="1" customWidth="1"/>
    <col min="12814" max="12814" width="10.5546875" style="176" customWidth="1"/>
    <col min="12815" max="12815" width="9.5546875" style="176" customWidth="1"/>
    <col min="12816" max="12816" width="10" style="176" customWidth="1"/>
    <col min="12817" max="12817" width="9.33203125" style="176" customWidth="1"/>
    <col min="12818" max="12818" width="11.5546875" style="176" customWidth="1"/>
    <col min="12819" max="12819" width="0" style="176" hidden="1" customWidth="1"/>
    <col min="12820" max="13055" width="7.88671875" style="176"/>
    <col min="13056" max="13056" width="3.33203125" style="176" customWidth="1"/>
    <col min="13057" max="13057" width="10.33203125" style="176" customWidth="1"/>
    <col min="13058" max="13058" width="0" style="176" hidden="1" customWidth="1"/>
    <col min="13059" max="13059" width="19.5546875" style="176" customWidth="1"/>
    <col min="13060" max="13060" width="11.6640625" style="176" customWidth="1"/>
    <col min="13061" max="13061" width="48.44140625" style="176" customWidth="1"/>
    <col min="13062" max="13062" width="13.109375" style="176" customWidth="1"/>
    <col min="13063" max="13063" width="12.6640625" style="176" customWidth="1"/>
    <col min="13064" max="13064" width="11.44140625" style="176" customWidth="1"/>
    <col min="13065" max="13065" width="10.88671875" style="176" customWidth="1"/>
    <col min="13066" max="13066" width="7.88671875" style="176" customWidth="1"/>
    <col min="13067" max="13067" width="9.5546875" style="176" customWidth="1"/>
    <col min="13068" max="13068" width="9" style="176" customWidth="1"/>
    <col min="13069" max="13069" width="0" style="176" hidden="1" customWidth="1"/>
    <col min="13070" max="13070" width="10.5546875" style="176" customWidth="1"/>
    <col min="13071" max="13071" width="9.5546875" style="176" customWidth="1"/>
    <col min="13072" max="13072" width="10" style="176" customWidth="1"/>
    <col min="13073" max="13073" width="9.33203125" style="176" customWidth="1"/>
    <col min="13074" max="13074" width="11.5546875" style="176" customWidth="1"/>
    <col min="13075" max="13075" width="0" style="176" hidden="1" customWidth="1"/>
    <col min="13076" max="13311" width="7.88671875" style="176"/>
    <col min="13312" max="13312" width="3.33203125" style="176" customWidth="1"/>
    <col min="13313" max="13313" width="10.33203125" style="176" customWidth="1"/>
    <col min="13314" max="13314" width="0" style="176" hidden="1" customWidth="1"/>
    <col min="13315" max="13315" width="19.5546875" style="176" customWidth="1"/>
    <col min="13316" max="13316" width="11.6640625" style="176" customWidth="1"/>
    <col min="13317" max="13317" width="48.44140625" style="176" customWidth="1"/>
    <col min="13318" max="13318" width="13.109375" style="176" customWidth="1"/>
    <col min="13319" max="13319" width="12.6640625" style="176" customWidth="1"/>
    <col min="13320" max="13320" width="11.44140625" style="176" customWidth="1"/>
    <col min="13321" max="13321" width="10.88671875" style="176" customWidth="1"/>
    <col min="13322" max="13322" width="7.88671875" style="176" customWidth="1"/>
    <col min="13323" max="13323" width="9.5546875" style="176" customWidth="1"/>
    <col min="13324" max="13324" width="9" style="176" customWidth="1"/>
    <col min="13325" max="13325" width="0" style="176" hidden="1" customWidth="1"/>
    <col min="13326" max="13326" width="10.5546875" style="176" customWidth="1"/>
    <col min="13327" max="13327" width="9.5546875" style="176" customWidth="1"/>
    <col min="13328" max="13328" width="10" style="176" customWidth="1"/>
    <col min="13329" max="13329" width="9.33203125" style="176" customWidth="1"/>
    <col min="13330" max="13330" width="11.5546875" style="176" customWidth="1"/>
    <col min="13331" max="13331" width="0" style="176" hidden="1" customWidth="1"/>
    <col min="13332" max="13567" width="7.88671875" style="176"/>
    <col min="13568" max="13568" width="3.33203125" style="176" customWidth="1"/>
    <col min="13569" max="13569" width="10.33203125" style="176" customWidth="1"/>
    <col min="13570" max="13570" width="0" style="176" hidden="1" customWidth="1"/>
    <col min="13571" max="13571" width="19.5546875" style="176" customWidth="1"/>
    <col min="13572" max="13572" width="11.6640625" style="176" customWidth="1"/>
    <col min="13573" max="13573" width="48.44140625" style="176" customWidth="1"/>
    <col min="13574" max="13574" width="13.109375" style="176" customWidth="1"/>
    <col min="13575" max="13575" width="12.6640625" style="176" customWidth="1"/>
    <col min="13576" max="13576" width="11.44140625" style="176" customWidth="1"/>
    <col min="13577" max="13577" width="10.88671875" style="176" customWidth="1"/>
    <col min="13578" max="13578" width="7.88671875" style="176" customWidth="1"/>
    <col min="13579" max="13579" width="9.5546875" style="176" customWidth="1"/>
    <col min="13580" max="13580" width="9" style="176" customWidth="1"/>
    <col min="13581" max="13581" width="0" style="176" hidden="1" customWidth="1"/>
    <col min="13582" max="13582" width="10.5546875" style="176" customWidth="1"/>
    <col min="13583" max="13583" width="9.5546875" style="176" customWidth="1"/>
    <col min="13584" max="13584" width="10" style="176" customWidth="1"/>
    <col min="13585" max="13585" width="9.33203125" style="176" customWidth="1"/>
    <col min="13586" max="13586" width="11.5546875" style="176" customWidth="1"/>
    <col min="13587" max="13587" width="0" style="176" hidden="1" customWidth="1"/>
    <col min="13588" max="13823" width="7.88671875" style="176"/>
    <col min="13824" max="13824" width="3.33203125" style="176" customWidth="1"/>
    <col min="13825" max="13825" width="10.33203125" style="176" customWidth="1"/>
    <col min="13826" max="13826" width="0" style="176" hidden="1" customWidth="1"/>
    <col min="13827" max="13827" width="19.5546875" style="176" customWidth="1"/>
    <col min="13828" max="13828" width="11.6640625" style="176" customWidth="1"/>
    <col min="13829" max="13829" width="48.44140625" style="176" customWidth="1"/>
    <col min="13830" max="13830" width="13.109375" style="176" customWidth="1"/>
    <col min="13831" max="13831" width="12.6640625" style="176" customWidth="1"/>
    <col min="13832" max="13832" width="11.44140625" style="176" customWidth="1"/>
    <col min="13833" max="13833" width="10.88671875" style="176" customWidth="1"/>
    <col min="13834" max="13834" width="7.88671875" style="176" customWidth="1"/>
    <col min="13835" max="13835" width="9.5546875" style="176" customWidth="1"/>
    <col min="13836" max="13836" width="9" style="176" customWidth="1"/>
    <col min="13837" max="13837" width="0" style="176" hidden="1" customWidth="1"/>
    <col min="13838" max="13838" width="10.5546875" style="176" customWidth="1"/>
    <col min="13839" max="13839" width="9.5546875" style="176" customWidth="1"/>
    <col min="13840" max="13840" width="10" style="176" customWidth="1"/>
    <col min="13841" max="13841" width="9.33203125" style="176" customWidth="1"/>
    <col min="13842" max="13842" width="11.5546875" style="176" customWidth="1"/>
    <col min="13843" max="13843" width="0" style="176" hidden="1" customWidth="1"/>
    <col min="13844" max="14079" width="7.88671875" style="176"/>
    <col min="14080" max="14080" width="3.33203125" style="176" customWidth="1"/>
    <col min="14081" max="14081" width="10.33203125" style="176" customWidth="1"/>
    <col min="14082" max="14082" width="0" style="176" hidden="1" customWidth="1"/>
    <col min="14083" max="14083" width="19.5546875" style="176" customWidth="1"/>
    <col min="14084" max="14084" width="11.6640625" style="176" customWidth="1"/>
    <col min="14085" max="14085" width="48.44140625" style="176" customWidth="1"/>
    <col min="14086" max="14086" width="13.109375" style="176" customWidth="1"/>
    <col min="14087" max="14087" width="12.6640625" style="176" customWidth="1"/>
    <col min="14088" max="14088" width="11.44140625" style="176" customWidth="1"/>
    <col min="14089" max="14089" width="10.88671875" style="176" customWidth="1"/>
    <col min="14090" max="14090" width="7.88671875" style="176" customWidth="1"/>
    <col min="14091" max="14091" width="9.5546875" style="176" customWidth="1"/>
    <col min="14092" max="14092" width="9" style="176" customWidth="1"/>
    <col min="14093" max="14093" width="0" style="176" hidden="1" customWidth="1"/>
    <col min="14094" max="14094" width="10.5546875" style="176" customWidth="1"/>
    <col min="14095" max="14095" width="9.5546875" style="176" customWidth="1"/>
    <col min="14096" max="14096" width="10" style="176" customWidth="1"/>
    <col min="14097" max="14097" width="9.33203125" style="176" customWidth="1"/>
    <col min="14098" max="14098" width="11.5546875" style="176" customWidth="1"/>
    <col min="14099" max="14099" width="0" style="176" hidden="1" customWidth="1"/>
    <col min="14100" max="14335" width="7.88671875" style="176"/>
    <col min="14336" max="14336" width="3.33203125" style="176" customWidth="1"/>
    <col min="14337" max="14337" width="10.33203125" style="176" customWidth="1"/>
    <col min="14338" max="14338" width="0" style="176" hidden="1" customWidth="1"/>
    <col min="14339" max="14339" width="19.5546875" style="176" customWidth="1"/>
    <col min="14340" max="14340" width="11.6640625" style="176" customWidth="1"/>
    <col min="14341" max="14341" width="48.44140625" style="176" customWidth="1"/>
    <col min="14342" max="14342" width="13.109375" style="176" customWidth="1"/>
    <col min="14343" max="14343" width="12.6640625" style="176" customWidth="1"/>
    <col min="14344" max="14344" width="11.44140625" style="176" customWidth="1"/>
    <col min="14345" max="14345" width="10.88671875" style="176" customWidth="1"/>
    <col min="14346" max="14346" width="7.88671875" style="176" customWidth="1"/>
    <col min="14347" max="14347" width="9.5546875" style="176" customWidth="1"/>
    <col min="14348" max="14348" width="9" style="176" customWidth="1"/>
    <col min="14349" max="14349" width="0" style="176" hidden="1" customWidth="1"/>
    <col min="14350" max="14350" width="10.5546875" style="176" customWidth="1"/>
    <col min="14351" max="14351" width="9.5546875" style="176" customWidth="1"/>
    <col min="14352" max="14352" width="10" style="176" customWidth="1"/>
    <col min="14353" max="14353" width="9.33203125" style="176" customWidth="1"/>
    <col min="14354" max="14354" width="11.5546875" style="176" customWidth="1"/>
    <col min="14355" max="14355" width="0" style="176" hidden="1" customWidth="1"/>
    <col min="14356" max="14591" width="7.88671875" style="176"/>
    <col min="14592" max="14592" width="3.33203125" style="176" customWidth="1"/>
    <col min="14593" max="14593" width="10.33203125" style="176" customWidth="1"/>
    <col min="14594" max="14594" width="0" style="176" hidden="1" customWidth="1"/>
    <col min="14595" max="14595" width="19.5546875" style="176" customWidth="1"/>
    <col min="14596" max="14596" width="11.6640625" style="176" customWidth="1"/>
    <col min="14597" max="14597" width="48.44140625" style="176" customWidth="1"/>
    <col min="14598" max="14598" width="13.109375" style="176" customWidth="1"/>
    <col min="14599" max="14599" width="12.6640625" style="176" customWidth="1"/>
    <col min="14600" max="14600" width="11.44140625" style="176" customWidth="1"/>
    <col min="14601" max="14601" width="10.88671875" style="176" customWidth="1"/>
    <col min="14602" max="14602" width="7.88671875" style="176" customWidth="1"/>
    <col min="14603" max="14603" width="9.5546875" style="176" customWidth="1"/>
    <col min="14604" max="14604" width="9" style="176" customWidth="1"/>
    <col min="14605" max="14605" width="0" style="176" hidden="1" customWidth="1"/>
    <col min="14606" max="14606" width="10.5546875" style="176" customWidth="1"/>
    <col min="14607" max="14607" width="9.5546875" style="176" customWidth="1"/>
    <col min="14608" max="14608" width="10" style="176" customWidth="1"/>
    <col min="14609" max="14609" width="9.33203125" style="176" customWidth="1"/>
    <col min="14610" max="14610" width="11.5546875" style="176" customWidth="1"/>
    <col min="14611" max="14611" width="0" style="176" hidden="1" customWidth="1"/>
    <col min="14612" max="14847" width="7.88671875" style="176"/>
    <col min="14848" max="14848" width="3.33203125" style="176" customWidth="1"/>
    <col min="14849" max="14849" width="10.33203125" style="176" customWidth="1"/>
    <col min="14850" max="14850" width="0" style="176" hidden="1" customWidth="1"/>
    <col min="14851" max="14851" width="19.5546875" style="176" customWidth="1"/>
    <col min="14852" max="14852" width="11.6640625" style="176" customWidth="1"/>
    <col min="14853" max="14853" width="48.44140625" style="176" customWidth="1"/>
    <col min="14854" max="14854" width="13.109375" style="176" customWidth="1"/>
    <col min="14855" max="14855" width="12.6640625" style="176" customWidth="1"/>
    <col min="14856" max="14856" width="11.44140625" style="176" customWidth="1"/>
    <col min="14857" max="14857" width="10.88671875" style="176" customWidth="1"/>
    <col min="14858" max="14858" width="7.88671875" style="176" customWidth="1"/>
    <col min="14859" max="14859" width="9.5546875" style="176" customWidth="1"/>
    <col min="14860" max="14860" width="9" style="176" customWidth="1"/>
    <col min="14861" max="14861" width="0" style="176" hidden="1" customWidth="1"/>
    <col min="14862" max="14862" width="10.5546875" style="176" customWidth="1"/>
    <col min="14863" max="14863" width="9.5546875" style="176" customWidth="1"/>
    <col min="14864" max="14864" width="10" style="176" customWidth="1"/>
    <col min="14865" max="14865" width="9.33203125" style="176" customWidth="1"/>
    <col min="14866" max="14866" width="11.5546875" style="176" customWidth="1"/>
    <col min="14867" max="14867" width="0" style="176" hidden="1" customWidth="1"/>
    <col min="14868" max="15103" width="7.88671875" style="176"/>
    <col min="15104" max="15104" width="3.33203125" style="176" customWidth="1"/>
    <col min="15105" max="15105" width="10.33203125" style="176" customWidth="1"/>
    <col min="15106" max="15106" width="0" style="176" hidden="1" customWidth="1"/>
    <col min="15107" max="15107" width="19.5546875" style="176" customWidth="1"/>
    <col min="15108" max="15108" width="11.6640625" style="176" customWidth="1"/>
    <col min="15109" max="15109" width="48.44140625" style="176" customWidth="1"/>
    <col min="15110" max="15110" width="13.109375" style="176" customWidth="1"/>
    <col min="15111" max="15111" width="12.6640625" style="176" customWidth="1"/>
    <col min="15112" max="15112" width="11.44140625" style="176" customWidth="1"/>
    <col min="15113" max="15113" width="10.88671875" style="176" customWidth="1"/>
    <col min="15114" max="15114" width="7.88671875" style="176" customWidth="1"/>
    <col min="15115" max="15115" width="9.5546875" style="176" customWidth="1"/>
    <col min="15116" max="15116" width="9" style="176" customWidth="1"/>
    <col min="15117" max="15117" width="0" style="176" hidden="1" customWidth="1"/>
    <col min="15118" max="15118" width="10.5546875" style="176" customWidth="1"/>
    <col min="15119" max="15119" width="9.5546875" style="176" customWidth="1"/>
    <col min="15120" max="15120" width="10" style="176" customWidth="1"/>
    <col min="15121" max="15121" width="9.33203125" style="176" customWidth="1"/>
    <col min="15122" max="15122" width="11.5546875" style="176" customWidth="1"/>
    <col min="15123" max="15123" width="0" style="176" hidden="1" customWidth="1"/>
    <col min="15124" max="15359" width="7.88671875" style="176"/>
    <col min="15360" max="15360" width="3.33203125" style="176" customWidth="1"/>
    <col min="15361" max="15361" width="10.33203125" style="176" customWidth="1"/>
    <col min="15362" max="15362" width="0" style="176" hidden="1" customWidth="1"/>
    <col min="15363" max="15363" width="19.5546875" style="176" customWidth="1"/>
    <col min="15364" max="15364" width="11.6640625" style="176" customWidth="1"/>
    <col min="15365" max="15365" width="48.44140625" style="176" customWidth="1"/>
    <col min="15366" max="15366" width="13.109375" style="176" customWidth="1"/>
    <col min="15367" max="15367" width="12.6640625" style="176" customWidth="1"/>
    <col min="15368" max="15368" width="11.44140625" style="176" customWidth="1"/>
    <col min="15369" max="15369" width="10.88671875" style="176" customWidth="1"/>
    <col min="15370" max="15370" width="7.88671875" style="176" customWidth="1"/>
    <col min="15371" max="15371" width="9.5546875" style="176" customWidth="1"/>
    <col min="15372" max="15372" width="9" style="176" customWidth="1"/>
    <col min="15373" max="15373" width="0" style="176" hidden="1" customWidth="1"/>
    <col min="15374" max="15374" width="10.5546875" style="176" customWidth="1"/>
    <col min="15375" max="15375" width="9.5546875" style="176" customWidth="1"/>
    <col min="15376" max="15376" width="10" style="176" customWidth="1"/>
    <col min="15377" max="15377" width="9.33203125" style="176" customWidth="1"/>
    <col min="15378" max="15378" width="11.5546875" style="176" customWidth="1"/>
    <col min="15379" max="15379" width="0" style="176" hidden="1" customWidth="1"/>
    <col min="15380" max="15615" width="7.88671875" style="176"/>
    <col min="15616" max="15616" width="3.33203125" style="176" customWidth="1"/>
    <col min="15617" max="15617" width="10.33203125" style="176" customWidth="1"/>
    <col min="15618" max="15618" width="0" style="176" hidden="1" customWidth="1"/>
    <col min="15619" max="15619" width="19.5546875" style="176" customWidth="1"/>
    <col min="15620" max="15620" width="11.6640625" style="176" customWidth="1"/>
    <col min="15621" max="15621" width="48.44140625" style="176" customWidth="1"/>
    <col min="15622" max="15622" width="13.109375" style="176" customWidth="1"/>
    <col min="15623" max="15623" width="12.6640625" style="176" customWidth="1"/>
    <col min="15624" max="15624" width="11.44140625" style="176" customWidth="1"/>
    <col min="15625" max="15625" width="10.88671875" style="176" customWidth="1"/>
    <col min="15626" max="15626" width="7.88671875" style="176" customWidth="1"/>
    <col min="15627" max="15627" width="9.5546875" style="176" customWidth="1"/>
    <col min="15628" max="15628" width="9" style="176" customWidth="1"/>
    <col min="15629" max="15629" width="0" style="176" hidden="1" customWidth="1"/>
    <col min="15630" max="15630" width="10.5546875" style="176" customWidth="1"/>
    <col min="15631" max="15631" width="9.5546875" style="176" customWidth="1"/>
    <col min="15632" max="15632" width="10" style="176" customWidth="1"/>
    <col min="15633" max="15633" width="9.33203125" style="176" customWidth="1"/>
    <col min="15634" max="15634" width="11.5546875" style="176" customWidth="1"/>
    <col min="15635" max="15635" width="0" style="176" hidden="1" customWidth="1"/>
    <col min="15636" max="15871" width="7.88671875" style="176"/>
    <col min="15872" max="15872" width="3.33203125" style="176" customWidth="1"/>
    <col min="15873" max="15873" width="10.33203125" style="176" customWidth="1"/>
    <col min="15874" max="15874" width="0" style="176" hidden="1" customWidth="1"/>
    <col min="15875" max="15875" width="19.5546875" style="176" customWidth="1"/>
    <col min="15876" max="15876" width="11.6640625" style="176" customWidth="1"/>
    <col min="15877" max="15877" width="48.44140625" style="176" customWidth="1"/>
    <col min="15878" max="15878" width="13.109375" style="176" customWidth="1"/>
    <col min="15879" max="15879" width="12.6640625" style="176" customWidth="1"/>
    <col min="15880" max="15880" width="11.44140625" style="176" customWidth="1"/>
    <col min="15881" max="15881" width="10.88671875" style="176" customWidth="1"/>
    <col min="15882" max="15882" width="7.88671875" style="176" customWidth="1"/>
    <col min="15883" max="15883" width="9.5546875" style="176" customWidth="1"/>
    <col min="15884" max="15884" width="9" style="176" customWidth="1"/>
    <col min="15885" max="15885" width="0" style="176" hidden="1" customWidth="1"/>
    <col min="15886" max="15886" width="10.5546875" style="176" customWidth="1"/>
    <col min="15887" max="15887" width="9.5546875" style="176" customWidth="1"/>
    <col min="15888" max="15888" width="10" style="176" customWidth="1"/>
    <col min="15889" max="15889" width="9.33203125" style="176" customWidth="1"/>
    <col min="15890" max="15890" width="11.5546875" style="176" customWidth="1"/>
    <col min="15891" max="15891" width="0" style="176" hidden="1" customWidth="1"/>
    <col min="15892" max="16127" width="7.88671875" style="176"/>
    <col min="16128" max="16128" width="3.33203125" style="176" customWidth="1"/>
    <col min="16129" max="16129" width="10.33203125" style="176" customWidth="1"/>
    <col min="16130" max="16130" width="0" style="176" hidden="1" customWidth="1"/>
    <col min="16131" max="16131" width="19.5546875" style="176" customWidth="1"/>
    <col min="16132" max="16132" width="11.6640625" style="176" customWidth="1"/>
    <col min="16133" max="16133" width="48.44140625" style="176" customWidth="1"/>
    <col min="16134" max="16134" width="13.109375" style="176" customWidth="1"/>
    <col min="16135" max="16135" width="12.6640625" style="176" customWidth="1"/>
    <col min="16136" max="16136" width="11.44140625" style="176" customWidth="1"/>
    <col min="16137" max="16137" width="10.88671875" style="176" customWidth="1"/>
    <col min="16138" max="16138" width="7.88671875" style="176" customWidth="1"/>
    <col min="16139" max="16139" width="9.5546875" style="176" customWidth="1"/>
    <col min="16140" max="16140" width="9" style="176" customWidth="1"/>
    <col min="16141" max="16141" width="0" style="176" hidden="1" customWidth="1"/>
    <col min="16142" max="16142" width="10.5546875" style="176" customWidth="1"/>
    <col min="16143" max="16143" width="9.5546875" style="176" customWidth="1"/>
    <col min="16144" max="16144" width="10" style="176" customWidth="1"/>
    <col min="16145" max="16145" width="9.33203125" style="176" customWidth="1"/>
    <col min="16146" max="16146" width="11.5546875" style="176" customWidth="1"/>
    <col min="16147" max="16147" width="0" style="176" hidden="1" customWidth="1"/>
    <col min="16148" max="16384" width="7.88671875" style="176"/>
  </cols>
  <sheetData>
    <row r="1" spans="1:19" ht="15.6" x14ac:dyDescent="0.3">
      <c r="B1" s="173"/>
      <c r="C1" s="173"/>
      <c r="D1" s="173"/>
      <c r="E1" s="173"/>
      <c r="F1" s="173"/>
      <c r="G1" s="173"/>
      <c r="H1" s="173"/>
      <c r="I1" s="173"/>
      <c r="J1" s="173"/>
      <c r="K1" s="174"/>
      <c r="L1" s="174"/>
      <c r="M1" s="174"/>
      <c r="N1" s="873" t="s">
        <v>371</v>
      </c>
      <c r="O1" s="873"/>
      <c r="P1" s="873"/>
      <c r="Q1" s="174"/>
      <c r="R1" s="173"/>
      <c r="S1" s="175"/>
    </row>
    <row r="2" spans="1:19" ht="15.6" x14ac:dyDescent="0.3">
      <c r="B2" s="173"/>
      <c r="C2" s="173"/>
      <c r="D2" s="173"/>
      <c r="E2" s="173"/>
      <c r="F2" s="173"/>
      <c r="G2" s="173"/>
      <c r="H2" s="173"/>
      <c r="I2" s="173"/>
      <c r="J2" s="173"/>
      <c r="K2" s="174"/>
      <c r="L2" s="174"/>
      <c r="M2" s="174"/>
      <c r="N2" s="14" t="s">
        <v>866</v>
      </c>
      <c r="O2" s="177"/>
      <c r="P2" s="177"/>
      <c r="Q2" s="174"/>
      <c r="R2" s="173"/>
      <c r="S2" s="175"/>
    </row>
    <row r="3" spans="1:19" ht="15.6" x14ac:dyDescent="0.3">
      <c r="B3" s="173"/>
      <c r="C3" s="173"/>
      <c r="D3" s="173"/>
      <c r="E3" s="173"/>
      <c r="F3" s="173"/>
      <c r="G3" s="173"/>
      <c r="H3" s="173"/>
      <c r="I3" s="173"/>
      <c r="J3" s="173"/>
      <c r="K3" s="174"/>
      <c r="L3" s="174"/>
      <c r="M3" s="174"/>
      <c r="N3" s="14" t="s">
        <v>1027</v>
      </c>
      <c r="O3" s="177"/>
      <c r="P3" s="177"/>
      <c r="Q3" s="174"/>
      <c r="R3" s="173"/>
      <c r="S3" s="175"/>
    </row>
    <row r="4" spans="1:19" ht="40.5" customHeight="1" x14ac:dyDescent="0.25">
      <c r="B4" s="874" t="s">
        <v>783</v>
      </c>
      <c r="C4" s="874"/>
      <c r="D4" s="874"/>
      <c r="E4" s="874"/>
      <c r="F4" s="874"/>
      <c r="G4" s="874"/>
      <c r="H4" s="874"/>
      <c r="I4" s="874"/>
      <c r="J4" s="874"/>
      <c r="K4" s="874"/>
      <c r="L4" s="874"/>
      <c r="M4" s="874"/>
      <c r="N4" s="874"/>
      <c r="O4" s="874"/>
      <c r="P4" s="874"/>
      <c r="Q4" s="874"/>
      <c r="R4" s="874"/>
      <c r="S4" s="175"/>
    </row>
    <row r="5" spans="1:19" ht="18" customHeight="1" x14ac:dyDescent="0.25">
      <c r="B5" s="692"/>
      <c r="C5" s="178"/>
      <c r="D5" s="692"/>
      <c r="E5" s="178">
        <v>11503000000</v>
      </c>
      <c r="F5" s="692"/>
      <c r="G5" s="692"/>
      <c r="H5" s="692"/>
      <c r="I5" s="692"/>
      <c r="J5" s="692"/>
      <c r="K5" s="692"/>
      <c r="L5" s="692"/>
      <c r="M5" s="692"/>
      <c r="N5" s="692"/>
      <c r="O5" s="692"/>
      <c r="P5" s="692"/>
      <c r="Q5" s="692"/>
      <c r="R5" s="692"/>
      <c r="S5" s="175"/>
    </row>
    <row r="6" spans="1:19" ht="19.5" customHeight="1" x14ac:dyDescent="0.25">
      <c r="B6" s="692"/>
      <c r="C6" s="178"/>
      <c r="D6" s="692"/>
      <c r="E6" s="178" t="s">
        <v>2</v>
      </c>
      <c r="F6" s="692"/>
      <c r="G6" s="692"/>
      <c r="H6" s="692"/>
      <c r="I6" s="692"/>
      <c r="J6" s="692"/>
      <c r="K6" s="692"/>
      <c r="L6" s="692"/>
      <c r="M6" s="692"/>
      <c r="N6" s="692"/>
      <c r="O6" s="692"/>
      <c r="P6" s="692"/>
      <c r="Q6" s="692"/>
      <c r="R6" s="692"/>
      <c r="S6" s="175"/>
    </row>
    <row r="7" spans="1:19" ht="15.75" customHeight="1" thickBot="1" x14ac:dyDescent="0.35">
      <c r="B7" s="179"/>
      <c r="C7" s="180"/>
      <c r="D7" s="180"/>
      <c r="E7" s="180"/>
      <c r="F7" s="180"/>
      <c r="G7" s="180"/>
      <c r="H7" s="181"/>
      <c r="I7" s="180"/>
      <c r="J7" s="180"/>
      <c r="K7" s="182"/>
      <c r="L7" s="183"/>
      <c r="M7" s="183"/>
      <c r="N7" s="183"/>
      <c r="O7" s="183"/>
      <c r="P7" s="183"/>
      <c r="Q7" s="183"/>
      <c r="R7" s="17" t="s">
        <v>188</v>
      </c>
    </row>
    <row r="8" spans="1:19" s="185" customFormat="1" ht="21.75" customHeight="1" x14ac:dyDescent="0.25">
      <c r="A8" s="184"/>
      <c r="B8" s="875" t="s">
        <v>372</v>
      </c>
      <c r="C8" s="877" t="s">
        <v>373</v>
      </c>
      <c r="D8" s="879" t="s">
        <v>6</v>
      </c>
      <c r="E8" s="881" t="s">
        <v>374</v>
      </c>
      <c r="F8" s="883" t="s">
        <v>11</v>
      </c>
      <c r="G8" s="883"/>
      <c r="H8" s="883"/>
      <c r="I8" s="883"/>
      <c r="J8" s="883"/>
      <c r="K8" s="883" t="s">
        <v>12</v>
      </c>
      <c r="L8" s="883"/>
      <c r="M8" s="883"/>
      <c r="N8" s="883"/>
      <c r="O8" s="883"/>
      <c r="P8" s="883"/>
      <c r="Q8" s="883"/>
      <c r="R8" s="884" t="s">
        <v>375</v>
      </c>
    </row>
    <row r="9" spans="1:19" s="185" customFormat="1" ht="16.5" customHeight="1" x14ac:dyDescent="0.25">
      <c r="A9" s="186"/>
      <c r="B9" s="876"/>
      <c r="C9" s="878"/>
      <c r="D9" s="880"/>
      <c r="E9" s="882"/>
      <c r="F9" s="890" t="s">
        <v>10</v>
      </c>
      <c r="G9" s="888" t="s">
        <v>376</v>
      </c>
      <c r="H9" s="890" t="s">
        <v>377</v>
      </c>
      <c r="I9" s="890"/>
      <c r="J9" s="888" t="s">
        <v>378</v>
      </c>
      <c r="K9" s="890" t="s">
        <v>10</v>
      </c>
      <c r="L9" s="690"/>
      <c r="M9" s="889" t="s">
        <v>379</v>
      </c>
      <c r="N9" s="691"/>
      <c r="O9" s="886" t="s">
        <v>377</v>
      </c>
      <c r="P9" s="887"/>
      <c r="Q9" s="888" t="s">
        <v>378</v>
      </c>
      <c r="R9" s="885"/>
    </row>
    <row r="10" spans="1:19" s="185" customFormat="1" ht="64.95" customHeight="1" thickBot="1" x14ac:dyDescent="0.3">
      <c r="A10" s="187"/>
      <c r="B10" s="876"/>
      <c r="C10" s="878"/>
      <c r="D10" s="880"/>
      <c r="E10" s="882"/>
      <c r="F10" s="891"/>
      <c r="G10" s="889"/>
      <c r="H10" s="691" t="s">
        <v>380</v>
      </c>
      <c r="I10" s="691" t="s">
        <v>381</v>
      </c>
      <c r="J10" s="889"/>
      <c r="K10" s="891"/>
      <c r="L10" s="188" t="s">
        <v>14</v>
      </c>
      <c r="M10" s="892"/>
      <c r="N10" s="188" t="s">
        <v>376</v>
      </c>
      <c r="O10" s="691" t="s">
        <v>380</v>
      </c>
      <c r="P10" s="691" t="s">
        <v>381</v>
      </c>
      <c r="Q10" s="889"/>
      <c r="R10" s="885"/>
    </row>
    <row r="11" spans="1:19" s="194" customFormat="1" ht="21" customHeight="1" thickBot="1" x14ac:dyDescent="0.35">
      <c r="A11" s="189"/>
      <c r="B11" s="190" t="s">
        <v>382</v>
      </c>
      <c r="C11" s="191" t="s">
        <v>383</v>
      </c>
      <c r="D11" s="644" t="s">
        <v>384</v>
      </c>
      <c r="E11" s="657">
        <v>4</v>
      </c>
      <c r="F11" s="192">
        <v>5</v>
      </c>
      <c r="G11" s="192">
        <v>6</v>
      </c>
      <c r="H11" s="192">
        <v>7</v>
      </c>
      <c r="I11" s="192">
        <v>8</v>
      </c>
      <c r="J11" s="192">
        <v>9</v>
      </c>
      <c r="K11" s="193">
        <v>10</v>
      </c>
      <c r="L11" s="193">
        <v>11</v>
      </c>
      <c r="M11" s="193">
        <v>12</v>
      </c>
      <c r="N11" s="193">
        <v>12</v>
      </c>
      <c r="O11" s="193">
        <v>13</v>
      </c>
      <c r="P11" s="193">
        <v>14</v>
      </c>
      <c r="Q11" s="193">
        <v>15</v>
      </c>
      <c r="R11" s="658">
        <v>16</v>
      </c>
    </row>
    <row r="12" spans="1:19" s="194" customFormat="1" ht="15.6" x14ac:dyDescent="0.3">
      <c r="A12" s="189"/>
      <c r="B12" s="195" t="s">
        <v>15</v>
      </c>
      <c r="C12" s="196"/>
      <c r="D12" s="645"/>
      <c r="E12" s="659" t="s">
        <v>697</v>
      </c>
      <c r="F12" s="197">
        <f>F13</f>
        <v>3016959</v>
      </c>
      <c r="G12" s="197">
        <f t="shared" ref="G12:R12" si="0">G13</f>
        <v>3016959</v>
      </c>
      <c r="H12" s="197">
        <f t="shared" si="0"/>
        <v>40984</v>
      </c>
      <c r="I12" s="197">
        <f t="shared" si="0"/>
        <v>50000</v>
      </c>
      <c r="J12" s="197">
        <f t="shared" si="0"/>
        <v>0</v>
      </c>
      <c r="K12" s="775">
        <f t="shared" si="0"/>
        <v>164780</v>
      </c>
      <c r="L12" s="775">
        <f t="shared" si="0"/>
        <v>164780</v>
      </c>
      <c r="M12" s="775">
        <f t="shared" si="0"/>
        <v>0</v>
      </c>
      <c r="N12" s="775">
        <f t="shared" si="0"/>
        <v>0</v>
      </c>
      <c r="O12" s="775">
        <f t="shared" si="0"/>
        <v>0</v>
      </c>
      <c r="P12" s="775">
        <f t="shared" si="0"/>
        <v>0</v>
      </c>
      <c r="Q12" s="775">
        <f t="shared" si="0"/>
        <v>164780</v>
      </c>
      <c r="R12" s="776">
        <f t="shared" si="0"/>
        <v>3181739</v>
      </c>
    </row>
    <row r="13" spans="1:19" s="185" customFormat="1" ht="15.6" x14ac:dyDescent="0.25">
      <c r="A13" s="198"/>
      <c r="B13" s="199" t="s">
        <v>385</v>
      </c>
      <c r="C13" s="200"/>
      <c r="D13" s="646"/>
      <c r="E13" s="660" t="s">
        <v>697</v>
      </c>
      <c r="F13" s="201">
        <f>F17+F19+F33+F34+F35+F36+F37+F38+F39+F40+F42+F43+F44+F45+F46+F47+F49+F53+F54+F56+F57+F58+F59+F60+F61+F62+F64+F66+F69+F73+F74+F75+F76+F77+F78+F79+F72+F67+F68+F27+F32+F20+F22+F55+F81+F63+F70+F65</f>
        <v>3016959</v>
      </c>
      <c r="G13" s="201">
        <f>G17+G19+G33+G34+G35+G36+G37+G38+G39+G40+G42+G43+G44+G45+G46+G47+G49+G53+G54+G56+G57+G58+G59+G60+G61+G62+G64+G66+G69+G73+G74+G75+G76+G77+G78+G79+G72+G67+G68+G27+G32+G20+G22+G55+G81+G63+G70+G65</f>
        <v>3016959</v>
      </c>
      <c r="H13" s="201">
        <f t="shared" ref="H13:R13" si="1">H17+H19+H33+H34+H35+H36+H37+H38+H39+H40+H42+H43+H44+H45+H46+H47+H49+H53+H54+H56+H57+H58+H59+H60+H61+H62+H64+H66+H69+H73+H74+H75+H76+H77+H78+H79+H72+H67+H68+H27+H32+H20+H22+H55+H81+H63+H70+H65</f>
        <v>40984</v>
      </c>
      <c r="I13" s="201">
        <f t="shared" si="1"/>
        <v>50000</v>
      </c>
      <c r="J13" s="201">
        <f t="shared" si="1"/>
        <v>0</v>
      </c>
      <c r="K13" s="201">
        <f t="shared" si="1"/>
        <v>164780</v>
      </c>
      <c r="L13" s="201">
        <f t="shared" si="1"/>
        <v>164780</v>
      </c>
      <c r="M13" s="201">
        <f t="shared" si="1"/>
        <v>0</v>
      </c>
      <c r="N13" s="201">
        <f t="shared" si="1"/>
        <v>0</v>
      </c>
      <c r="O13" s="201">
        <f t="shared" si="1"/>
        <v>0</v>
      </c>
      <c r="P13" s="201">
        <f t="shared" si="1"/>
        <v>0</v>
      </c>
      <c r="Q13" s="201">
        <f t="shared" si="1"/>
        <v>164780</v>
      </c>
      <c r="R13" s="201">
        <f t="shared" si="1"/>
        <v>3181739</v>
      </c>
    </row>
    <row r="14" spans="1:19" s="185" customFormat="1" ht="15.75" customHeight="1" x14ac:dyDescent="0.25">
      <c r="A14" s="198"/>
      <c r="B14" s="199"/>
      <c r="C14" s="200"/>
      <c r="D14" s="646"/>
      <c r="E14" s="462" t="s">
        <v>386</v>
      </c>
      <c r="F14" s="203">
        <f t="shared" ref="F14:F31" si="2">G14+J14</f>
        <v>0</v>
      </c>
      <c r="G14" s="201"/>
      <c r="H14" s="201"/>
      <c r="I14" s="201"/>
      <c r="J14" s="201"/>
      <c r="K14" s="204">
        <f>N14+L14</f>
        <v>0</v>
      </c>
      <c r="L14" s="204"/>
      <c r="M14" s="204"/>
      <c r="N14" s="204"/>
      <c r="O14" s="204"/>
      <c r="P14" s="204"/>
      <c r="Q14" s="204"/>
      <c r="R14" s="205">
        <f t="shared" ref="R14:R100" si="3">F14+K14</f>
        <v>0</v>
      </c>
    </row>
    <row r="15" spans="1:19" s="185" customFormat="1" ht="15.75" customHeight="1" x14ac:dyDescent="0.25">
      <c r="A15" s="198"/>
      <c r="B15" s="199"/>
      <c r="C15" s="200"/>
      <c r="D15" s="646"/>
      <c r="E15" s="661" t="s">
        <v>387</v>
      </c>
      <c r="F15" s="201">
        <f t="shared" si="2"/>
        <v>0</v>
      </c>
      <c r="G15" s="203">
        <f>G71</f>
        <v>0</v>
      </c>
      <c r="H15" s="203"/>
      <c r="I15" s="203"/>
      <c r="J15" s="203">
        <f t="shared" ref="J15:Q15" si="4">J80</f>
        <v>0</v>
      </c>
      <c r="K15" s="203">
        <f t="shared" si="4"/>
        <v>0</v>
      </c>
      <c r="L15" s="203">
        <f t="shared" si="4"/>
        <v>0</v>
      </c>
      <c r="M15" s="203">
        <f t="shared" si="4"/>
        <v>0</v>
      </c>
      <c r="N15" s="203">
        <f t="shared" si="4"/>
        <v>0</v>
      </c>
      <c r="O15" s="203">
        <f t="shared" si="4"/>
        <v>0</v>
      </c>
      <c r="P15" s="203">
        <f t="shared" si="4"/>
        <v>0</v>
      </c>
      <c r="Q15" s="203">
        <f t="shared" si="4"/>
        <v>0</v>
      </c>
      <c r="R15" s="206">
        <f t="shared" si="3"/>
        <v>0</v>
      </c>
    </row>
    <row r="16" spans="1:19" s="185" customFormat="1" ht="15.75" customHeight="1" x14ac:dyDescent="0.25">
      <c r="A16" s="198"/>
      <c r="B16" s="199"/>
      <c r="C16" s="200"/>
      <c r="D16" s="646"/>
      <c r="E16" s="661" t="s">
        <v>388</v>
      </c>
      <c r="F16" s="201">
        <f>G16+J16</f>
        <v>0</v>
      </c>
      <c r="G16" s="203">
        <f>G29+G18+G50</f>
        <v>0</v>
      </c>
      <c r="H16" s="207"/>
      <c r="I16" s="207"/>
      <c r="J16" s="207">
        <f>J18+J52</f>
        <v>0</v>
      </c>
      <c r="K16" s="207">
        <f>K18+K52</f>
        <v>0</v>
      </c>
      <c r="L16" s="207"/>
      <c r="M16" s="207"/>
      <c r="N16" s="207"/>
      <c r="O16" s="207"/>
      <c r="P16" s="207"/>
      <c r="Q16" s="207"/>
      <c r="R16" s="206">
        <f t="shared" si="3"/>
        <v>0</v>
      </c>
    </row>
    <row r="17" spans="1:18" s="185" customFormat="1" ht="78.75" customHeight="1" x14ac:dyDescent="0.25">
      <c r="A17" s="198"/>
      <c r="B17" s="199" t="s">
        <v>17</v>
      </c>
      <c r="C17" s="208" t="s">
        <v>18</v>
      </c>
      <c r="D17" s="647" t="s">
        <v>19</v>
      </c>
      <c r="E17" s="661" t="s">
        <v>389</v>
      </c>
      <c r="F17" s="201">
        <f t="shared" si="2"/>
        <v>50000</v>
      </c>
      <c r="G17" s="448">
        <v>50000</v>
      </c>
      <c r="H17" s="203"/>
      <c r="I17" s="203">
        <v>50000</v>
      </c>
      <c r="J17" s="203"/>
      <c r="K17" s="204">
        <f>N17+L17</f>
        <v>0</v>
      </c>
      <c r="L17" s="209">
        <v>0</v>
      </c>
      <c r="M17" s="209"/>
      <c r="N17" s="209"/>
      <c r="O17" s="209"/>
      <c r="P17" s="209"/>
      <c r="Q17" s="209">
        <v>0</v>
      </c>
      <c r="R17" s="206">
        <f t="shared" si="3"/>
        <v>50000</v>
      </c>
    </row>
    <row r="18" spans="1:18" s="185" customFormat="1" ht="31.5" hidden="1" customHeight="1" x14ac:dyDescent="0.25">
      <c r="A18" s="198"/>
      <c r="B18" s="199"/>
      <c r="C18" s="208"/>
      <c r="D18" s="647"/>
      <c r="E18" s="462" t="s">
        <v>390</v>
      </c>
      <c r="F18" s="201">
        <f t="shared" si="2"/>
        <v>0</v>
      </c>
      <c r="G18" s="207"/>
      <c r="H18" s="203"/>
      <c r="I18" s="203"/>
      <c r="J18" s="203"/>
      <c r="K18" s="204"/>
      <c r="L18" s="209"/>
      <c r="M18" s="209"/>
      <c r="N18" s="209"/>
      <c r="O18" s="209"/>
      <c r="P18" s="209"/>
      <c r="Q18" s="209"/>
      <c r="R18" s="206">
        <f t="shared" si="3"/>
        <v>0</v>
      </c>
    </row>
    <row r="19" spans="1:18" s="185" customFormat="1" ht="15.6" x14ac:dyDescent="0.25">
      <c r="A19" s="198"/>
      <c r="B19" s="199" t="s">
        <v>23</v>
      </c>
      <c r="C19" s="208" t="s">
        <v>24</v>
      </c>
      <c r="D19" s="647" t="s">
        <v>25</v>
      </c>
      <c r="E19" s="661" t="s">
        <v>26</v>
      </c>
      <c r="F19" s="201">
        <f t="shared" si="2"/>
        <v>79910</v>
      </c>
      <c r="G19" s="203">
        <v>79910</v>
      </c>
      <c r="H19" s="203"/>
      <c r="I19" s="203"/>
      <c r="J19" s="203"/>
      <c r="K19" s="204">
        <f t="shared" ref="K19:K108" si="5">N19+L19</f>
        <v>0</v>
      </c>
      <c r="L19" s="209"/>
      <c r="M19" s="209"/>
      <c r="N19" s="209"/>
      <c r="O19" s="209"/>
      <c r="P19" s="209"/>
      <c r="Q19" s="209"/>
      <c r="R19" s="206">
        <f t="shared" si="3"/>
        <v>79910</v>
      </c>
    </row>
    <row r="20" spans="1:18" s="185" customFormat="1" ht="15.6" hidden="1" x14ac:dyDescent="0.25">
      <c r="A20" s="198"/>
      <c r="B20" s="777"/>
      <c r="C20" s="778"/>
      <c r="D20" s="779"/>
      <c r="E20" s="780"/>
      <c r="F20" s="781"/>
      <c r="G20" s="782"/>
      <c r="H20" s="782"/>
      <c r="I20" s="782"/>
      <c r="J20" s="203"/>
      <c r="K20" s="204"/>
      <c r="L20" s="209"/>
      <c r="M20" s="209"/>
      <c r="N20" s="209"/>
      <c r="O20" s="209"/>
      <c r="P20" s="209"/>
      <c r="Q20" s="209"/>
      <c r="R20" s="206">
        <f t="shared" si="3"/>
        <v>0</v>
      </c>
    </row>
    <row r="21" spans="1:18" s="185" customFormat="1" ht="15.6" hidden="1" x14ac:dyDescent="0.25">
      <c r="A21" s="198"/>
      <c r="B21" s="777"/>
      <c r="C21" s="778"/>
      <c r="D21" s="779"/>
      <c r="E21" s="780"/>
      <c r="F21" s="781"/>
      <c r="G21" s="782"/>
      <c r="H21" s="782"/>
      <c r="I21" s="782"/>
      <c r="J21" s="203"/>
      <c r="K21" s="204"/>
      <c r="L21" s="209"/>
      <c r="M21" s="209"/>
      <c r="N21" s="209"/>
      <c r="O21" s="209"/>
      <c r="P21" s="209"/>
      <c r="Q21" s="209"/>
      <c r="R21" s="206">
        <f t="shared" si="3"/>
        <v>0</v>
      </c>
    </row>
    <row r="22" spans="1:18" s="185" customFormat="1" ht="15.6" hidden="1" x14ac:dyDescent="0.25">
      <c r="A22" s="198"/>
      <c r="B22" s="777"/>
      <c r="C22" s="778"/>
      <c r="D22" s="779"/>
      <c r="E22" s="780"/>
      <c r="F22" s="781"/>
      <c r="G22" s="782"/>
      <c r="H22" s="782"/>
      <c r="I22" s="782"/>
      <c r="J22" s="203"/>
      <c r="K22" s="204"/>
      <c r="L22" s="209"/>
      <c r="M22" s="209"/>
      <c r="N22" s="209"/>
      <c r="O22" s="209"/>
      <c r="P22" s="209"/>
      <c r="Q22" s="209"/>
      <c r="R22" s="206">
        <f t="shared" si="3"/>
        <v>0</v>
      </c>
    </row>
    <row r="23" spans="1:18" s="185" customFormat="1" ht="15.6" hidden="1" x14ac:dyDescent="0.25">
      <c r="A23" s="198"/>
      <c r="B23" s="199"/>
      <c r="C23" s="208"/>
      <c r="D23" s="647"/>
      <c r="E23" s="662" t="s">
        <v>397</v>
      </c>
      <c r="F23" s="201"/>
      <c r="G23" s="203"/>
      <c r="H23" s="203"/>
      <c r="I23" s="203"/>
      <c r="J23" s="203"/>
      <c r="K23" s="204"/>
      <c r="L23" s="209"/>
      <c r="M23" s="209"/>
      <c r="N23" s="209"/>
      <c r="O23" s="209"/>
      <c r="P23" s="209"/>
      <c r="Q23" s="209"/>
      <c r="R23" s="206">
        <f t="shared" si="3"/>
        <v>0</v>
      </c>
    </row>
    <row r="24" spans="1:18" s="185" customFormat="1" ht="15.6" hidden="1" x14ac:dyDescent="0.25">
      <c r="A24" s="198"/>
      <c r="B24" s="199"/>
      <c r="C24" s="208"/>
      <c r="D24" s="647"/>
      <c r="E24" s="662" t="s">
        <v>387</v>
      </c>
      <c r="F24" s="201">
        <f t="shared" si="2"/>
        <v>0</v>
      </c>
      <c r="G24" s="203"/>
      <c r="H24" s="203"/>
      <c r="I24" s="203"/>
      <c r="J24" s="203"/>
      <c r="K24" s="204"/>
      <c r="L24" s="209"/>
      <c r="M24" s="209"/>
      <c r="N24" s="209"/>
      <c r="O24" s="209"/>
      <c r="P24" s="209"/>
      <c r="Q24" s="209"/>
      <c r="R24" s="206">
        <f t="shared" si="3"/>
        <v>0</v>
      </c>
    </row>
    <row r="25" spans="1:18" s="185" customFormat="1" ht="31.2" hidden="1" x14ac:dyDescent="0.25">
      <c r="A25" s="198"/>
      <c r="B25" s="199"/>
      <c r="C25" s="208"/>
      <c r="D25" s="647"/>
      <c r="E25" s="662" t="s">
        <v>398</v>
      </c>
      <c r="F25" s="201"/>
      <c r="G25" s="203"/>
      <c r="H25" s="203"/>
      <c r="I25" s="203"/>
      <c r="J25" s="203"/>
      <c r="K25" s="204"/>
      <c r="L25" s="209"/>
      <c r="M25" s="209"/>
      <c r="N25" s="209"/>
      <c r="O25" s="209"/>
      <c r="P25" s="209"/>
      <c r="Q25" s="209"/>
      <c r="R25" s="206">
        <f t="shared" si="3"/>
        <v>0</v>
      </c>
    </row>
    <row r="26" spans="1:18" s="185" customFormat="1" ht="31.2" hidden="1" x14ac:dyDescent="0.25">
      <c r="A26" s="198"/>
      <c r="B26" s="199"/>
      <c r="C26" s="208"/>
      <c r="D26" s="647"/>
      <c r="E26" s="662" t="s">
        <v>399</v>
      </c>
      <c r="F26" s="201">
        <f t="shared" si="2"/>
        <v>0</v>
      </c>
      <c r="G26" s="203"/>
      <c r="H26" s="203"/>
      <c r="I26" s="203"/>
      <c r="J26" s="203"/>
      <c r="K26" s="204"/>
      <c r="L26" s="209"/>
      <c r="M26" s="209"/>
      <c r="N26" s="209"/>
      <c r="O26" s="209"/>
      <c r="P26" s="209"/>
      <c r="Q26" s="209"/>
      <c r="R26" s="206">
        <f t="shared" si="3"/>
        <v>0</v>
      </c>
    </row>
    <row r="27" spans="1:18" s="185" customFormat="1" ht="43.5" hidden="1" customHeight="1" x14ac:dyDescent="0.25">
      <c r="A27" s="172"/>
      <c r="B27" s="212" t="s">
        <v>400</v>
      </c>
      <c r="C27" s="213" t="s">
        <v>401</v>
      </c>
      <c r="D27" s="649" t="s">
        <v>402</v>
      </c>
      <c r="E27" s="663" t="s">
        <v>403</v>
      </c>
      <c r="F27" s="214">
        <f t="shared" si="2"/>
        <v>0</v>
      </c>
      <c r="G27" s="215"/>
      <c r="H27" s="203"/>
      <c r="I27" s="203"/>
      <c r="J27" s="203"/>
      <c r="K27" s="204">
        <f t="shared" si="5"/>
        <v>0</v>
      </c>
      <c r="L27" s="209"/>
      <c r="M27" s="209"/>
      <c r="N27" s="209"/>
      <c r="O27" s="209"/>
      <c r="P27" s="209"/>
      <c r="Q27" s="209"/>
      <c r="R27" s="206">
        <f t="shared" si="3"/>
        <v>0</v>
      </c>
    </row>
    <row r="28" spans="1:18" s="185" customFormat="1" ht="15.6" hidden="1" x14ac:dyDescent="0.25">
      <c r="A28" s="172"/>
      <c r="B28" s="212"/>
      <c r="C28" s="213"/>
      <c r="D28" s="649"/>
      <c r="E28" s="664" t="s">
        <v>359</v>
      </c>
      <c r="F28" s="214"/>
      <c r="G28" s="215"/>
      <c r="H28" s="203"/>
      <c r="I28" s="203"/>
      <c r="J28" s="203"/>
      <c r="K28" s="204"/>
      <c r="L28" s="209"/>
      <c r="M28" s="209"/>
      <c r="N28" s="209"/>
      <c r="O28" s="209"/>
      <c r="P28" s="209"/>
      <c r="Q28" s="209"/>
      <c r="R28" s="206">
        <f t="shared" si="3"/>
        <v>0</v>
      </c>
    </row>
    <row r="29" spans="1:18" s="185" customFormat="1" ht="67.5" hidden="1" customHeight="1" x14ac:dyDescent="0.25">
      <c r="A29" s="172"/>
      <c r="B29" s="212"/>
      <c r="C29" s="213"/>
      <c r="D29" s="649"/>
      <c r="E29" s="663" t="s">
        <v>404</v>
      </c>
      <c r="F29" s="214">
        <f t="shared" si="2"/>
        <v>0</v>
      </c>
      <c r="G29" s="215"/>
      <c r="H29" s="203"/>
      <c r="I29" s="203"/>
      <c r="J29" s="203"/>
      <c r="K29" s="204">
        <f t="shared" si="5"/>
        <v>0</v>
      </c>
      <c r="L29" s="209"/>
      <c r="M29" s="209"/>
      <c r="N29" s="209"/>
      <c r="O29" s="209"/>
      <c r="P29" s="209"/>
      <c r="Q29" s="209"/>
      <c r="R29" s="206">
        <f t="shared" si="3"/>
        <v>0</v>
      </c>
    </row>
    <row r="30" spans="1:18" s="185" customFormat="1" ht="15.6" hidden="1" x14ac:dyDescent="0.25">
      <c r="A30" s="172"/>
      <c r="B30" s="212"/>
      <c r="C30" s="213"/>
      <c r="D30" s="649"/>
      <c r="E30" s="663" t="s">
        <v>405</v>
      </c>
      <c r="F30" s="214">
        <f t="shared" si="2"/>
        <v>0</v>
      </c>
      <c r="G30" s="215"/>
      <c r="H30" s="203"/>
      <c r="I30" s="203"/>
      <c r="J30" s="203"/>
      <c r="K30" s="204"/>
      <c r="L30" s="209"/>
      <c r="M30" s="209"/>
      <c r="N30" s="209"/>
      <c r="O30" s="209"/>
      <c r="P30" s="209"/>
      <c r="Q30" s="209"/>
      <c r="R30" s="206">
        <f t="shared" si="3"/>
        <v>0</v>
      </c>
    </row>
    <row r="31" spans="1:18" s="185" customFormat="1" ht="67.5" hidden="1" customHeight="1" x14ac:dyDescent="0.25">
      <c r="A31" s="172"/>
      <c r="B31" s="212"/>
      <c r="C31" s="213"/>
      <c r="D31" s="649"/>
      <c r="E31" s="663"/>
      <c r="F31" s="214">
        <f t="shared" si="2"/>
        <v>0</v>
      </c>
      <c r="G31" s="215"/>
      <c r="H31" s="203"/>
      <c r="I31" s="203"/>
      <c r="J31" s="203"/>
      <c r="K31" s="204"/>
      <c r="L31" s="209"/>
      <c r="M31" s="209"/>
      <c r="N31" s="209"/>
      <c r="O31" s="209"/>
      <c r="P31" s="209"/>
      <c r="Q31" s="209"/>
      <c r="R31" s="206">
        <f t="shared" si="3"/>
        <v>0</v>
      </c>
    </row>
    <row r="32" spans="1:18" s="185" customFormat="1" ht="40.5" hidden="1" customHeight="1" x14ac:dyDescent="0.25">
      <c r="A32" s="172"/>
      <c r="B32" s="212" t="s">
        <v>27</v>
      </c>
      <c r="C32" s="213" t="s">
        <v>28</v>
      </c>
      <c r="D32" s="649" t="s">
        <v>29</v>
      </c>
      <c r="E32" s="663" t="s">
        <v>406</v>
      </c>
      <c r="F32" s="214">
        <f>G32+J32</f>
        <v>0</v>
      </c>
      <c r="G32" s="215"/>
      <c r="H32" s="203"/>
      <c r="I32" s="203"/>
      <c r="J32" s="203"/>
      <c r="K32" s="204"/>
      <c r="L32" s="209"/>
      <c r="M32" s="209"/>
      <c r="N32" s="209"/>
      <c r="O32" s="209"/>
      <c r="P32" s="209"/>
      <c r="Q32" s="209"/>
      <c r="R32" s="206">
        <f t="shared" si="3"/>
        <v>0</v>
      </c>
    </row>
    <row r="33" spans="1:18" s="185" customFormat="1" ht="62.4" hidden="1" x14ac:dyDescent="0.25">
      <c r="A33" s="172"/>
      <c r="B33" s="216" t="s">
        <v>33</v>
      </c>
      <c r="C33" s="213" t="s">
        <v>34</v>
      </c>
      <c r="D33" s="649" t="s">
        <v>35</v>
      </c>
      <c r="E33" s="665" t="s">
        <v>407</v>
      </c>
      <c r="F33" s="214">
        <f t="shared" ref="F33:F84" si="6">G33+J33</f>
        <v>0</v>
      </c>
      <c r="G33" s="215"/>
      <c r="H33" s="215"/>
      <c r="I33" s="203"/>
      <c r="J33" s="217"/>
      <c r="K33" s="683">
        <f t="shared" si="5"/>
        <v>0</v>
      </c>
      <c r="L33" s="683">
        <f>L34</f>
        <v>0</v>
      </c>
      <c r="M33" s="683"/>
      <c r="N33" s="685"/>
      <c r="O33" s="683"/>
      <c r="P33" s="683"/>
      <c r="Q33" s="683"/>
      <c r="R33" s="623">
        <f t="shared" si="3"/>
        <v>0</v>
      </c>
    </row>
    <row r="34" spans="1:18" s="185" customFormat="1" ht="31.2" hidden="1" x14ac:dyDescent="0.25">
      <c r="A34" s="172"/>
      <c r="B34" s="216" t="s">
        <v>37</v>
      </c>
      <c r="C34" s="213" t="s">
        <v>38</v>
      </c>
      <c r="D34" s="649" t="s">
        <v>39</v>
      </c>
      <c r="E34" s="665" t="s">
        <v>40</v>
      </c>
      <c r="F34" s="214">
        <f t="shared" si="6"/>
        <v>0</v>
      </c>
      <c r="G34" s="215"/>
      <c r="H34" s="203"/>
      <c r="I34" s="203"/>
      <c r="J34" s="203"/>
      <c r="K34" s="204">
        <f t="shared" si="5"/>
        <v>0</v>
      </c>
      <c r="L34" s="209"/>
      <c r="M34" s="209"/>
      <c r="N34" s="209"/>
      <c r="O34" s="209"/>
      <c r="P34" s="209"/>
      <c r="Q34" s="209"/>
      <c r="R34" s="206">
        <f t="shared" si="3"/>
        <v>0</v>
      </c>
    </row>
    <row r="35" spans="1:18" s="185" customFormat="1" ht="15.6" hidden="1" x14ac:dyDescent="0.25">
      <c r="A35" s="172"/>
      <c r="B35" s="216"/>
      <c r="C35" s="213"/>
      <c r="D35" s="649"/>
      <c r="E35" s="666"/>
      <c r="F35" s="214">
        <f t="shared" si="6"/>
        <v>0</v>
      </c>
      <c r="G35" s="218"/>
      <c r="H35" s="217"/>
      <c r="I35" s="217"/>
      <c r="J35" s="217"/>
      <c r="K35" s="204">
        <f t="shared" si="5"/>
        <v>0</v>
      </c>
      <c r="L35" s="204"/>
      <c r="M35" s="204"/>
      <c r="N35" s="204"/>
      <c r="O35" s="204"/>
      <c r="P35" s="204"/>
      <c r="Q35" s="204"/>
      <c r="R35" s="206">
        <f t="shared" si="3"/>
        <v>0</v>
      </c>
    </row>
    <row r="36" spans="1:18" s="185" customFormat="1" ht="31.2" hidden="1" x14ac:dyDescent="0.25">
      <c r="A36" s="172"/>
      <c r="B36" s="216" t="s">
        <v>408</v>
      </c>
      <c r="C36" s="213" t="s">
        <v>409</v>
      </c>
      <c r="D36" s="649" t="s">
        <v>39</v>
      </c>
      <c r="E36" s="665" t="s">
        <v>410</v>
      </c>
      <c r="F36" s="214">
        <f t="shared" si="6"/>
        <v>0</v>
      </c>
      <c r="G36" s="215"/>
      <c r="H36" s="203"/>
      <c r="I36" s="203"/>
      <c r="J36" s="203"/>
      <c r="K36" s="204">
        <f t="shared" si="5"/>
        <v>0</v>
      </c>
      <c r="L36" s="209"/>
      <c r="M36" s="209"/>
      <c r="N36" s="209"/>
      <c r="O36" s="209"/>
      <c r="P36" s="209"/>
      <c r="Q36" s="209"/>
      <c r="R36" s="206">
        <f t="shared" si="3"/>
        <v>0</v>
      </c>
    </row>
    <row r="37" spans="1:18" s="185" customFormat="1" ht="15.6" hidden="1" x14ac:dyDescent="0.25">
      <c r="A37" s="172"/>
      <c r="B37" s="216" t="s">
        <v>41</v>
      </c>
      <c r="C37" s="213" t="s">
        <v>42</v>
      </c>
      <c r="D37" s="649" t="s">
        <v>39</v>
      </c>
      <c r="E37" s="665" t="s">
        <v>43</v>
      </c>
      <c r="F37" s="214">
        <f t="shared" si="6"/>
        <v>0</v>
      </c>
      <c r="G37" s="215"/>
      <c r="H37" s="203"/>
      <c r="I37" s="203"/>
      <c r="J37" s="203"/>
      <c r="K37" s="204"/>
      <c r="L37" s="209"/>
      <c r="M37" s="209"/>
      <c r="N37" s="209"/>
      <c r="O37" s="209"/>
      <c r="P37" s="209"/>
      <c r="Q37" s="209"/>
      <c r="R37" s="206">
        <f t="shared" si="3"/>
        <v>0</v>
      </c>
    </row>
    <row r="38" spans="1:18" s="185" customFormat="1" ht="62.4" hidden="1" x14ac:dyDescent="0.25">
      <c r="A38" s="172"/>
      <c r="B38" s="216" t="s">
        <v>46</v>
      </c>
      <c r="C38" s="213" t="s">
        <v>47</v>
      </c>
      <c r="D38" s="649" t="s">
        <v>39</v>
      </c>
      <c r="E38" s="665" t="s">
        <v>48</v>
      </c>
      <c r="F38" s="214">
        <f t="shared" si="6"/>
        <v>0</v>
      </c>
      <c r="G38" s="215"/>
      <c r="H38" s="203"/>
      <c r="I38" s="203"/>
      <c r="J38" s="203"/>
      <c r="K38" s="204">
        <f t="shared" si="5"/>
        <v>0</v>
      </c>
      <c r="L38" s="209"/>
      <c r="M38" s="209"/>
      <c r="N38" s="209"/>
      <c r="O38" s="209"/>
      <c r="P38" s="209"/>
      <c r="Q38" s="209"/>
      <c r="R38" s="206">
        <f t="shared" si="3"/>
        <v>0</v>
      </c>
    </row>
    <row r="39" spans="1:18" s="185" customFormat="1" ht="78" hidden="1" x14ac:dyDescent="0.25">
      <c r="A39" s="172"/>
      <c r="B39" s="216" t="s">
        <v>51</v>
      </c>
      <c r="C39" s="213">
        <v>3160</v>
      </c>
      <c r="D39" s="649" t="s">
        <v>53</v>
      </c>
      <c r="E39" s="663" t="s">
        <v>54</v>
      </c>
      <c r="F39" s="214">
        <f t="shared" si="6"/>
        <v>0</v>
      </c>
      <c r="G39" s="215"/>
      <c r="H39" s="203"/>
      <c r="I39" s="203"/>
      <c r="J39" s="203"/>
      <c r="K39" s="204">
        <f t="shared" si="5"/>
        <v>0</v>
      </c>
      <c r="L39" s="209"/>
      <c r="M39" s="209"/>
      <c r="N39" s="209"/>
      <c r="O39" s="209"/>
      <c r="P39" s="209"/>
      <c r="Q39" s="209"/>
      <c r="R39" s="206">
        <f t="shared" si="3"/>
        <v>0</v>
      </c>
    </row>
    <row r="40" spans="1:18" s="185" customFormat="1" ht="31.2" hidden="1" x14ac:dyDescent="0.25">
      <c r="A40" s="172"/>
      <c r="B40" s="219" t="s">
        <v>55</v>
      </c>
      <c r="C40" s="213" t="s">
        <v>56</v>
      </c>
      <c r="D40" s="649" t="s">
        <v>57</v>
      </c>
      <c r="E40" s="665" t="s">
        <v>58</v>
      </c>
      <c r="F40" s="214">
        <f t="shared" si="6"/>
        <v>0</v>
      </c>
      <c r="G40" s="220"/>
      <c r="H40" s="203"/>
      <c r="I40" s="203"/>
      <c r="J40" s="203"/>
      <c r="K40" s="204">
        <f t="shared" si="5"/>
        <v>0</v>
      </c>
      <c r="L40" s="209"/>
      <c r="M40" s="209"/>
      <c r="N40" s="209"/>
      <c r="O40" s="209"/>
      <c r="P40" s="209"/>
      <c r="Q40" s="209"/>
      <c r="R40" s="206">
        <f t="shared" si="3"/>
        <v>0</v>
      </c>
    </row>
    <row r="41" spans="1:18" s="185" customFormat="1" ht="46.8" hidden="1" x14ac:dyDescent="0.25">
      <c r="A41" s="198"/>
      <c r="B41" s="221" t="s">
        <v>411</v>
      </c>
      <c r="C41" s="208">
        <v>3192</v>
      </c>
      <c r="D41" s="647">
        <v>1030</v>
      </c>
      <c r="E41" s="462" t="s">
        <v>412</v>
      </c>
      <c r="F41" s="201">
        <f t="shared" si="6"/>
        <v>0</v>
      </c>
      <c r="G41" s="203"/>
      <c r="H41" s="203"/>
      <c r="I41" s="203"/>
      <c r="J41" s="203"/>
      <c r="K41" s="204"/>
      <c r="L41" s="209"/>
      <c r="M41" s="209"/>
      <c r="N41" s="209"/>
      <c r="O41" s="209"/>
      <c r="P41" s="209"/>
      <c r="Q41" s="209"/>
      <c r="R41" s="206">
        <f t="shared" si="3"/>
        <v>0</v>
      </c>
    </row>
    <row r="42" spans="1:18" s="185" customFormat="1" ht="15.6" x14ac:dyDescent="0.25">
      <c r="A42" s="198"/>
      <c r="B42" s="221" t="s">
        <v>59</v>
      </c>
      <c r="C42" s="208" t="s">
        <v>60</v>
      </c>
      <c r="D42" s="647" t="s">
        <v>61</v>
      </c>
      <c r="E42" s="462" t="s">
        <v>62</v>
      </c>
      <c r="F42" s="201">
        <f t="shared" si="6"/>
        <v>50000</v>
      </c>
      <c r="G42" s="203">
        <v>50000</v>
      </c>
      <c r="H42" s="203">
        <v>40984</v>
      </c>
      <c r="I42" s="203"/>
      <c r="J42" s="203"/>
      <c r="K42" s="204">
        <f t="shared" si="5"/>
        <v>0</v>
      </c>
      <c r="L42" s="209"/>
      <c r="M42" s="209"/>
      <c r="N42" s="209"/>
      <c r="O42" s="209"/>
      <c r="P42" s="209"/>
      <c r="Q42" s="209"/>
      <c r="R42" s="206">
        <f t="shared" si="3"/>
        <v>50000</v>
      </c>
    </row>
    <row r="43" spans="1:18" s="185" customFormat="1" ht="39.75" hidden="1" customHeight="1" x14ac:dyDescent="0.25">
      <c r="A43" s="198"/>
      <c r="B43" s="221" t="s">
        <v>413</v>
      </c>
      <c r="C43" s="208" t="s">
        <v>414</v>
      </c>
      <c r="D43" s="647" t="s">
        <v>65</v>
      </c>
      <c r="E43" s="462" t="s">
        <v>415</v>
      </c>
      <c r="F43" s="201">
        <f t="shared" si="6"/>
        <v>0</v>
      </c>
      <c r="G43" s="222"/>
      <c r="H43" s="222"/>
      <c r="I43" s="222"/>
      <c r="J43" s="203"/>
      <c r="K43" s="204">
        <f t="shared" si="5"/>
        <v>0</v>
      </c>
      <c r="L43" s="209"/>
      <c r="M43" s="209"/>
      <c r="N43" s="209"/>
      <c r="O43" s="209"/>
      <c r="P43" s="209"/>
      <c r="Q43" s="209"/>
      <c r="R43" s="206">
        <f t="shared" si="3"/>
        <v>0</v>
      </c>
    </row>
    <row r="44" spans="1:18" s="185" customFormat="1" ht="31.2" hidden="1" x14ac:dyDescent="0.25">
      <c r="A44" s="198"/>
      <c r="B44" s="221" t="s">
        <v>63</v>
      </c>
      <c r="C44" s="208" t="s">
        <v>64</v>
      </c>
      <c r="D44" s="647" t="s">
        <v>65</v>
      </c>
      <c r="E44" s="462" t="s">
        <v>66</v>
      </c>
      <c r="F44" s="201">
        <f t="shared" si="6"/>
        <v>0</v>
      </c>
      <c r="G44" s="203"/>
      <c r="H44" s="203"/>
      <c r="I44" s="203"/>
      <c r="J44" s="203"/>
      <c r="K44" s="204">
        <f t="shared" si="5"/>
        <v>0</v>
      </c>
      <c r="L44" s="209"/>
      <c r="M44" s="209"/>
      <c r="N44" s="209"/>
      <c r="O44" s="209"/>
      <c r="P44" s="209"/>
      <c r="Q44" s="209"/>
      <c r="R44" s="206">
        <f t="shared" si="3"/>
        <v>0</v>
      </c>
    </row>
    <row r="45" spans="1:18" s="185" customFormat="1" ht="15.6" hidden="1" x14ac:dyDescent="0.25">
      <c r="A45" s="198"/>
      <c r="B45" s="223"/>
      <c r="C45" s="200"/>
      <c r="D45" s="646"/>
      <c r="E45" s="667"/>
      <c r="F45" s="201">
        <f t="shared" si="6"/>
        <v>0</v>
      </c>
      <c r="G45" s="201"/>
      <c r="H45" s="203"/>
      <c r="I45" s="203"/>
      <c r="J45" s="203"/>
      <c r="K45" s="204">
        <f t="shared" si="5"/>
        <v>0</v>
      </c>
      <c r="L45" s="209"/>
      <c r="M45" s="209"/>
      <c r="N45" s="209"/>
      <c r="O45" s="209"/>
      <c r="P45" s="209"/>
      <c r="Q45" s="209"/>
      <c r="R45" s="206">
        <f t="shared" si="3"/>
        <v>0</v>
      </c>
    </row>
    <row r="46" spans="1:18" s="185" customFormat="1" ht="31.2" hidden="1" x14ac:dyDescent="0.25">
      <c r="A46" s="198"/>
      <c r="B46" s="221" t="s">
        <v>69</v>
      </c>
      <c r="C46" s="208" t="s">
        <v>70</v>
      </c>
      <c r="D46" s="647" t="s">
        <v>71</v>
      </c>
      <c r="E46" s="462" t="s">
        <v>72</v>
      </c>
      <c r="F46" s="201">
        <f t="shared" si="6"/>
        <v>0</v>
      </c>
      <c r="G46" s="203"/>
      <c r="H46" s="203"/>
      <c r="I46" s="203"/>
      <c r="J46" s="203"/>
      <c r="K46" s="204">
        <f t="shared" si="5"/>
        <v>0</v>
      </c>
      <c r="L46" s="209"/>
      <c r="M46" s="209"/>
      <c r="N46" s="209"/>
      <c r="O46" s="209"/>
      <c r="P46" s="209"/>
      <c r="Q46" s="209"/>
      <c r="R46" s="206">
        <f t="shared" si="3"/>
        <v>0</v>
      </c>
    </row>
    <row r="47" spans="1:18" s="185" customFormat="1" ht="15.6" hidden="1" x14ac:dyDescent="0.25">
      <c r="A47" s="198"/>
      <c r="B47" s="223"/>
      <c r="C47" s="200"/>
      <c r="D47" s="646"/>
      <c r="E47" s="667"/>
      <c r="F47" s="201"/>
      <c r="G47" s="201"/>
      <c r="H47" s="201"/>
      <c r="I47" s="201"/>
      <c r="J47" s="201"/>
      <c r="K47" s="204">
        <f t="shared" si="5"/>
        <v>0</v>
      </c>
      <c r="L47" s="204"/>
      <c r="M47" s="204"/>
      <c r="N47" s="204"/>
      <c r="O47" s="204"/>
      <c r="P47" s="204"/>
      <c r="Q47" s="204"/>
      <c r="R47" s="206">
        <f t="shared" si="3"/>
        <v>0</v>
      </c>
    </row>
    <row r="48" spans="1:18" s="185" customFormat="1" ht="39.75" hidden="1" customHeight="1" x14ac:dyDescent="0.25">
      <c r="A48" s="198"/>
      <c r="B48" s="221"/>
      <c r="C48" s="208"/>
      <c r="D48" s="647"/>
      <c r="E48" s="462" t="s">
        <v>390</v>
      </c>
      <c r="F48" s="201"/>
      <c r="G48" s="203"/>
      <c r="H48" s="203"/>
      <c r="I48" s="203"/>
      <c r="J48" s="203"/>
      <c r="K48" s="204">
        <f t="shared" si="5"/>
        <v>0</v>
      </c>
      <c r="L48" s="209"/>
      <c r="M48" s="209"/>
      <c r="N48" s="209"/>
      <c r="O48" s="209"/>
      <c r="P48" s="209"/>
      <c r="Q48" s="209"/>
      <c r="R48" s="206">
        <f t="shared" si="3"/>
        <v>0</v>
      </c>
    </row>
    <row r="49" spans="1:18" s="185" customFormat="1" ht="31.2" hidden="1" x14ac:dyDescent="0.25">
      <c r="A49" s="198"/>
      <c r="B49" s="221" t="s">
        <v>75</v>
      </c>
      <c r="C49" s="208" t="s">
        <v>76</v>
      </c>
      <c r="D49" s="647" t="s">
        <v>71</v>
      </c>
      <c r="E49" s="462" t="s">
        <v>77</v>
      </c>
      <c r="F49" s="201">
        <f t="shared" si="6"/>
        <v>0</v>
      </c>
      <c r="G49" s="203"/>
      <c r="H49" s="203"/>
      <c r="I49" s="203"/>
      <c r="J49" s="203"/>
      <c r="K49" s="204">
        <f t="shared" si="5"/>
        <v>0</v>
      </c>
      <c r="L49" s="209"/>
      <c r="M49" s="209"/>
      <c r="N49" s="209"/>
      <c r="O49" s="209"/>
      <c r="P49" s="209"/>
      <c r="Q49" s="209"/>
      <c r="R49" s="206">
        <f t="shared" si="3"/>
        <v>0</v>
      </c>
    </row>
    <row r="50" spans="1:18" s="185" customFormat="1" ht="30" hidden="1" customHeight="1" x14ac:dyDescent="0.25">
      <c r="A50" s="198"/>
      <c r="B50" s="224"/>
      <c r="C50" s="208"/>
      <c r="D50" s="650"/>
      <c r="E50" s="462" t="s">
        <v>416</v>
      </c>
      <c r="F50" s="201">
        <f t="shared" si="6"/>
        <v>0</v>
      </c>
      <c r="G50" s="203"/>
      <c r="H50" s="203"/>
      <c r="I50" s="203"/>
      <c r="J50" s="203"/>
      <c r="K50" s="204">
        <f t="shared" si="5"/>
        <v>0</v>
      </c>
      <c r="L50" s="209"/>
      <c r="M50" s="209"/>
      <c r="N50" s="209"/>
      <c r="O50" s="209"/>
      <c r="P50" s="209"/>
      <c r="Q50" s="209"/>
      <c r="R50" s="206">
        <f t="shared" si="3"/>
        <v>0</v>
      </c>
    </row>
    <row r="51" spans="1:18" s="185" customFormat="1" ht="53.25" hidden="1" customHeight="1" x14ac:dyDescent="0.25">
      <c r="A51" s="198"/>
      <c r="B51" s="224"/>
      <c r="C51" s="225"/>
      <c r="D51" s="650"/>
      <c r="E51" s="668"/>
      <c r="F51" s="201"/>
      <c r="G51" s="203"/>
      <c r="H51" s="203"/>
      <c r="I51" s="203"/>
      <c r="J51" s="203"/>
      <c r="K51" s="204">
        <f t="shared" si="5"/>
        <v>0</v>
      </c>
      <c r="L51" s="209"/>
      <c r="M51" s="209"/>
      <c r="N51" s="209"/>
      <c r="O51" s="209"/>
      <c r="P51" s="209"/>
      <c r="Q51" s="209"/>
      <c r="R51" s="206">
        <f t="shared" si="3"/>
        <v>0</v>
      </c>
    </row>
    <row r="52" spans="1:18" s="185" customFormat="1" ht="31.2" hidden="1" x14ac:dyDescent="0.25">
      <c r="A52" s="198"/>
      <c r="B52" s="223"/>
      <c r="C52" s="226"/>
      <c r="D52" s="651"/>
      <c r="E52" s="462" t="s">
        <v>390</v>
      </c>
      <c r="F52" s="201">
        <f t="shared" si="6"/>
        <v>0</v>
      </c>
      <c r="G52" s="207"/>
      <c r="H52" s="203"/>
      <c r="I52" s="203"/>
      <c r="J52" s="201"/>
      <c r="K52" s="204">
        <f t="shared" si="5"/>
        <v>0</v>
      </c>
      <c r="L52" s="204"/>
      <c r="M52" s="204"/>
      <c r="N52" s="204"/>
      <c r="O52" s="204"/>
      <c r="P52" s="204"/>
      <c r="Q52" s="209"/>
      <c r="R52" s="206">
        <f t="shared" si="3"/>
        <v>0</v>
      </c>
    </row>
    <row r="53" spans="1:18" s="185" customFormat="1" ht="31.2" x14ac:dyDescent="0.25">
      <c r="A53" s="198"/>
      <c r="B53" s="221" t="s">
        <v>78</v>
      </c>
      <c r="C53" s="208" t="s">
        <v>79</v>
      </c>
      <c r="D53" s="647" t="s">
        <v>80</v>
      </c>
      <c r="E53" s="462" t="s">
        <v>81</v>
      </c>
      <c r="F53" s="201">
        <f t="shared" si="6"/>
        <v>60000</v>
      </c>
      <c r="G53" s="203">
        <v>60000</v>
      </c>
      <c r="H53" s="203"/>
      <c r="I53" s="203"/>
      <c r="J53" s="203"/>
      <c r="K53" s="217">
        <f t="shared" si="5"/>
        <v>0</v>
      </c>
      <c r="L53" s="207"/>
      <c r="M53" s="207"/>
      <c r="N53" s="207"/>
      <c r="O53" s="207"/>
      <c r="P53" s="207"/>
      <c r="Q53" s="207"/>
      <c r="R53" s="206">
        <f t="shared" si="3"/>
        <v>60000</v>
      </c>
    </row>
    <row r="54" spans="1:18" s="185" customFormat="1" ht="15.6" x14ac:dyDescent="0.25">
      <c r="A54" s="198"/>
      <c r="B54" s="221" t="s">
        <v>84</v>
      </c>
      <c r="C54" s="208" t="s">
        <v>85</v>
      </c>
      <c r="D54" s="647" t="s">
        <v>80</v>
      </c>
      <c r="E54" s="462" t="s">
        <v>86</v>
      </c>
      <c r="F54" s="201">
        <f t="shared" si="6"/>
        <v>49000</v>
      </c>
      <c r="G54" s="203">
        <v>49000</v>
      </c>
      <c r="H54" s="203"/>
      <c r="I54" s="203"/>
      <c r="J54" s="203"/>
      <c r="K54" s="204">
        <f t="shared" si="5"/>
        <v>0</v>
      </c>
      <c r="L54" s="209"/>
      <c r="M54" s="209"/>
      <c r="N54" s="209"/>
      <c r="O54" s="209"/>
      <c r="P54" s="209"/>
      <c r="Q54" s="209"/>
      <c r="R54" s="206">
        <f t="shared" si="3"/>
        <v>49000</v>
      </c>
    </row>
    <row r="55" spans="1:18" s="185" customFormat="1" ht="46.8" x14ac:dyDescent="0.25">
      <c r="A55" s="198"/>
      <c r="B55" s="221" t="s">
        <v>585</v>
      </c>
      <c r="C55" s="208" t="s">
        <v>652</v>
      </c>
      <c r="D55" s="647" t="s">
        <v>80</v>
      </c>
      <c r="E55" s="462" t="s">
        <v>651</v>
      </c>
      <c r="F55" s="201">
        <f t="shared" si="6"/>
        <v>169000</v>
      </c>
      <c r="G55" s="203">
        <v>169000</v>
      </c>
      <c r="H55" s="203"/>
      <c r="I55" s="203"/>
      <c r="J55" s="203"/>
      <c r="K55" s="217">
        <f t="shared" si="5"/>
        <v>0</v>
      </c>
      <c r="L55" s="207"/>
      <c r="M55" s="209"/>
      <c r="N55" s="209"/>
      <c r="O55" s="209"/>
      <c r="P55" s="209"/>
      <c r="Q55" s="209"/>
      <c r="R55" s="206">
        <f t="shared" si="3"/>
        <v>169000</v>
      </c>
    </row>
    <row r="56" spans="1:18" s="185" customFormat="1" ht="15.6" x14ac:dyDescent="0.25">
      <c r="A56" s="198"/>
      <c r="B56" s="221" t="s">
        <v>87</v>
      </c>
      <c r="C56" s="208" t="s">
        <v>88</v>
      </c>
      <c r="D56" s="647" t="s">
        <v>80</v>
      </c>
      <c r="E56" s="462" t="s">
        <v>89</v>
      </c>
      <c r="F56" s="201">
        <f t="shared" si="6"/>
        <v>48960</v>
      </c>
      <c r="G56" s="203">
        <v>48960</v>
      </c>
      <c r="H56" s="203"/>
      <c r="I56" s="203"/>
      <c r="J56" s="203"/>
      <c r="K56" s="217">
        <f t="shared" si="5"/>
        <v>0</v>
      </c>
      <c r="L56" s="207"/>
      <c r="M56" s="207"/>
      <c r="N56" s="207"/>
      <c r="O56" s="207"/>
      <c r="P56" s="207"/>
      <c r="Q56" s="207"/>
      <c r="R56" s="206">
        <f t="shared" si="3"/>
        <v>48960</v>
      </c>
    </row>
    <row r="57" spans="1:18" s="185" customFormat="1" ht="15.6" hidden="1" x14ac:dyDescent="0.25">
      <c r="A57" s="198"/>
      <c r="B57" s="221"/>
      <c r="C57" s="208"/>
      <c r="D57" s="650"/>
      <c r="E57" s="462"/>
      <c r="F57" s="201"/>
      <c r="G57" s="201"/>
      <c r="H57" s="203"/>
      <c r="I57" s="203"/>
      <c r="J57" s="203"/>
      <c r="K57" s="204">
        <f t="shared" si="5"/>
        <v>0</v>
      </c>
      <c r="L57" s="209"/>
      <c r="M57" s="209"/>
      <c r="N57" s="209"/>
      <c r="O57" s="209"/>
      <c r="P57" s="209"/>
      <c r="Q57" s="209"/>
      <c r="R57" s="206">
        <f t="shared" si="3"/>
        <v>0</v>
      </c>
    </row>
    <row r="58" spans="1:18" s="185" customFormat="1" ht="93.6" hidden="1" x14ac:dyDescent="0.25">
      <c r="A58" s="198"/>
      <c r="B58" s="221" t="s">
        <v>417</v>
      </c>
      <c r="C58" s="208" t="s">
        <v>418</v>
      </c>
      <c r="D58" s="647" t="s">
        <v>98</v>
      </c>
      <c r="E58" s="462" t="s">
        <v>419</v>
      </c>
      <c r="F58" s="201">
        <f t="shared" si="6"/>
        <v>0</v>
      </c>
      <c r="G58" s="203"/>
      <c r="H58" s="203"/>
      <c r="I58" s="203"/>
      <c r="J58" s="203"/>
      <c r="K58" s="204">
        <f t="shared" si="5"/>
        <v>0</v>
      </c>
      <c r="L58" s="209"/>
      <c r="M58" s="209"/>
      <c r="N58" s="209"/>
      <c r="O58" s="209"/>
      <c r="P58" s="209"/>
      <c r="Q58" s="209"/>
      <c r="R58" s="206">
        <f t="shared" si="3"/>
        <v>0</v>
      </c>
    </row>
    <row r="59" spans="1:18" s="185" customFormat="1" ht="31.2" hidden="1" x14ac:dyDescent="0.25">
      <c r="A59" s="198"/>
      <c r="B59" s="221" t="s">
        <v>96</v>
      </c>
      <c r="C59" s="208" t="s">
        <v>97</v>
      </c>
      <c r="D59" s="647" t="s">
        <v>98</v>
      </c>
      <c r="E59" s="462" t="s">
        <v>99</v>
      </c>
      <c r="F59" s="201">
        <f t="shared" si="6"/>
        <v>0</v>
      </c>
      <c r="G59" s="203"/>
      <c r="H59" s="203"/>
      <c r="I59" s="203"/>
      <c r="J59" s="203"/>
      <c r="K59" s="204">
        <f t="shared" si="5"/>
        <v>0</v>
      </c>
      <c r="L59" s="209"/>
      <c r="M59" s="209"/>
      <c r="N59" s="209"/>
      <c r="O59" s="209"/>
      <c r="P59" s="209"/>
      <c r="Q59" s="209"/>
      <c r="R59" s="206">
        <f t="shared" si="3"/>
        <v>0</v>
      </c>
    </row>
    <row r="60" spans="1:18" s="185" customFormat="1" ht="15.6" x14ac:dyDescent="0.25">
      <c r="A60" s="198"/>
      <c r="B60" s="221" t="s">
        <v>100</v>
      </c>
      <c r="C60" s="208" t="s">
        <v>101</v>
      </c>
      <c r="D60" s="647" t="s">
        <v>102</v>
      </c>
      <c r="E60" s="462" t="s">
        <v>103</v>
      </c>
      <c r="F60" s="201">
        <f t="shared" si="6"/>
        <v>0</v>
      </c>
      <c r="G60" s="203"/>
      <c r="H60" s="203"/>
      <c r="I60" s="203"/>
      <c r="J60" s="203"/>
      <c r="K60" s="217">
        <f t="shared" si="5"/>
        <v>36780</v>
      </c>
      <c r="L60" s="207">
        <v>36780</v>
      </c>
      <c r="M60" s="207"/>
      <c r="N60" s="207"/>
      <c r="O60" s="207"/>
      <c r="P60" s="207"/>
      <c r="Q60" s="207">
        <v>36780</v>
      </c>
      <c r="R60" s="206">
        <f t="shared" si="3"/>
        <v>36780</v>
      </c>
    </row>
    <row r="61" spans="1:18" s="185" customFormat="1" ht="15.6" hidden="1" x14ac:dyDescent="0.25">
      <c r="A61" s="198"/>
      <c r="B61" s="221" t="s">
        <v>420</v>
      </c>
      <c r="C61" s="208" t="s">
        <v>421</v>
      </c>
      <c r="D61" s="647" t="s">
        <v>172</v>
      </c>
      <c r="E61" s="462" t="s">
        <v>422</v>
      </c>
      <c r="F61" s="201">
        <f t="shared" si="6"/>
        <v>0</v>
      </c>
      <c r="G61" s="203"/>
      <c r="H61" s="203"/>
      <c r="I61" s="203"/>
      <c r="J61" s="203"/>
      <c r="K61" s="217">
        <f>N61+L61</f>
        <v>0</v>
      </c>
      <c r="L61" s="207"/>
      <c r="M61" s="207"/>
      <c r="N61" s="207"/>
      <c r="O61" s="207"/>
      <c r="P61" s="207"/>
      <c r="Q61" s="207"/>
      <c r="R61" s="206">
        <f t="shared" si="3"/>
        <v>0</v>
      </c>
    </row>
    <row r="62" spans="1:18" s="185" customFormat="1" ht="31.2" hidden="1" x14ac:dyDescent="0.25">
      <c r="A62" s="198"/>
      <c r="B62" s="221" t="s">
        <v>423</v>
      </c>
      <c r="C62" s="208" t="s">
        <v>424</v>
      </c>
      <c r="D62" s="647" t="s">
        <v>172</v>
      </c>
      <c r="E62" s="462" t="s">
        <v>425</v>
      </c>
      <c r="F62" s="201">
        <f>G62+J62</f>
        <v>0</v>
      </c>
      <c r="G62" s="203"/>
      <c r="H62" s="203"/>
      <c r="I62" s="203"/>
      <c r="J62" s="203"/>
      <c r="K62" s="217">
        <f>N62+L62</f>
        <v>0</v>
      </c>
      <c r="L62" s="207"/>
      <c r="M62" s="209"/>
      <c r="N62" s="209"/>
      <c r="O62" s="209"/>
      <c r="P62" s="209"/>
      <c r="Q62" s="207"/>
      <c r="R62" s="206">
        <f t="shared" si="3"/>
        <v>0</v>
      </c>
    </row>
    <row r="63" spans="1:18" s="185" customFormat="1" ht="46.8" hidden="1" x14ac:dyDescent="0.25">
      <c r="A63" s="198"/>
      <c r="B63" s="221" t="s">
        <v>550</v>
      </c>
      <c r="C63" s="208" t="s">
        <v>551</v>
      </c>
      <c r="D63" s="647" t="s">
        <v>116</v>
      </c>
      <c r="E63" s="462" t="s">
        <v>561</v>
      </c>
      <c r="F63" s="201">
        <f>G63+J63</f>
        <v>0</v>
      </c>
      <c r="G63" s="203"/>
      <c r="H63" s="203"/>
      <c r="I63" s="203"/>
      <c r="J63" s="203"/>
      <c r="K63" s="217">
        <f>N63+L63</f>
        <v>0</v>
      </c>
      <c r="L63" s="207"/>
      <c r="M63" s="209"/>
      <c r="N63" s="209"/>
      <c r="O63" s="209"/>
      <c r="P63" s="209"/>
      <c r="Q63" s="207"/>
      <c r="R63" s="206">
        <f t="shared" si="3"/>
        <v>0</v>
      </c>
    </row>
    <row r="64" spans="1:18" s="185" customFormat="1" ht="46.8" x14ac:dyDescent="0.25">
      <c r="A64" s="198"/>
      <c r="B64" s="221" t="s">
        <v>104</v>
      </c>
      <c r="C64" s="208" t="s">
        <v>105</v>
      </c>
      <c r="D64" s="647" t="s">
        <v>106</v>
      </c>
      <c r="E64" s="462" t="s">
        <v>107</v>
      </c>
      <c r="F64" s="201">
        <f t="shared" si="6"/>
        <v>2357089</v>
      </c>
      <c r="G64" s="203">
        <v>2357089</v>
      </c>
      <c r="H64" s="203"/>
      <c r="I64" s="203"/>
      <c r="J64" s="203"/>
      <c r="K64" s="217">
        <f t="shared" si="5"/>
        <v>0</v>
      </c>
      <c r="L64" s="207"/>
      <c r="M64" s="207"/>
      <c r="N64" s="207"/>
      <c r="O64" s="207"/>
      <c r="P64" s="207"/>
      <c r="Q64" s="207"/>
      <c r="R64" s="206">
        <f t="shared" si="3"/>
        <v>2357089</v>
      </c>
    </row>
    <row r="65" spans="1:18" s="185" customFormat="1" ht="46.8" hidden="1" x14ac:dyDescent="0.25">
      <c r="A65" s="198"/>
      <c r="B65" s="221" t="s">
        <v>831</v>
      </c>
      <c r="C65" s="208" t="s">
        <v>832</v>
      </c>
      <c r="D65" s="647" t="s">
        <v>833</v>
      </c>
      <c r="E65" s="462" t="s">
        <v>834</v>
      </c>
      <c r="F65" s="201">
        <f t="shared" si="6"/>
        <v>0</v>
      </c>
      <c r="G65" s="203"/>
      <c r="H65" s="203"/>
      <c r="I65" s="203"/>
      <c r="J65" s="203"/>
      <c r="K65" s="204"/>
      <c r="L65" s="209"/>
      <c r="M65" s="209"/>
      <c r="N65" s="209"/>
      <c r="O65" s="209"/>
      <c r="P65" s="209"/>
      <c r="Q65" s="209"/>
      <c r="R65" s="206">
        <f t="shared" si="3"/>
        <v>0</v>
      </c>
    </row>
    <row r="66" spans="1:18" s="185" customFormat="1" ht="31.2" hidden="1" x14ac:dyDescent="0.25">
      <c r="A66" s="198"/>
      <c r="B66" s="221" t="s">
        <v>108</v>
      </c>
      <c r="C66" s="208" t="s">
        <v>109</v>
      </c>
      <c r="D66" s="647" t="s">
        <v>110</v>
      </c>
      <c r="E66" s="462" t="s">
        <v>111</v>
      </c>
      <c r="F66" s="201">
        <f t="shared" si="6"/>
        <v>0</v>
      </c>
      <c r="G66" s="203"/>
      <c r="H66" s="203"/>
      <c r="I66" s="203"/>
      <c r="J66" s="207"/>
      <c r="K66" s="204">
        <f t="shared" si="5"/>
        <v>0</v>
      </c>
      <c r="L66" s="209"/>
      <c r="M66" s="209"/>
      <c r="N66" s="209"/>
      <c r="O66" s="209"/>
      <c r="P66" s="209">
        <f>O66</f>
        <v>0</v>
      </c>
      <c r="Q66" s="209"/>
      <c r="R66" s="206">
        <f t="shared" si="3"/>
        <v>0</v>
      </c>
    </row>
    <row r="67" spans="1:18" s="185" customFormat="1" ht="31.2" hidden="1" x14ac:dyDescent="0.25">
      <c r="A67" s="198"/>
      <c r="B67" s="221" t="s">
        <v>114</v>
      </c>
      <c r="C67" s="208" t="s">
        <v>115</v>
      </c>
      <c r="D67" s="647" t="s">
        <v>116</v>
      </c>
      <c r="E67" s="462" t="s">
        <v>117</v>
      </c>
      <c r="F67" s="201">
        <f t="shared" si="6"/>
        <v>0</v>
      </c>
      <c r="G67" s="203"/>
      <c r="H67" s="203"/>
      <c r="I67" s="203"/>
      <c r="J67" s="207"/>
      <c r="K67" s="217">
        <f t="shared" si="5"/>
        <v>0</v>
      </c>
      <c r="L67" s="207"/>
      <c r="M67" s="209"/>
      <c r="N67" s="209"/>
      <c r="O67" s="209"/>
      <c r="P67" s="209"/>
      <c r="Q67" s="207"/>
      <c r="R67" s="206">
        <f t="shared" si="3"/>
        <v>0</v>
      </c>
    </row>
    <row r="68" spans="1:18" s="185" customFormat="1" ht="65.25" hidden="1" customHeight="1" x14ac:dyDescent="0.25">
      <c r="A68" s="198"/>
      <c r="B68" s="221" t="s">
        <v>118</v>
      </c>
      <c r="C68" s="208" t="s">
        <v>119</v>
      </c>
      <c r="D68" s="647" t="s">
        <v>116</v>
      </c>
      <c r="E68" s="462" t="s">
        <v>120</v>
      </c>
      <c r="F68" s="201">
        <f t="shared" si="6"/>
        <v>0</v>
      </c>
      <c r="G68" s="203"/>
      <c r="H68" s="203"/>
      <c r="I68" s="203"/>
      <c r="J68" s="207"/>
      <c r="K68" s="217">
        <f t="shared" si="5"/>
        <v>0</v>
      </c>
      <c r="L68" s="207"/>
      <c r="M68" s="209"/>
      <c r="N68" s="209"/>
      <c r="O68" s="209"/>
      <c r="P68" s="209"/>
      <c r="Q68" s="207"/>
      <c r="R68" s="206">
        <f t="shared" si="3"/>
        <v>0</v>
      </c>
    </row>
    <row r="69" spans="1:18" s="185" customFormat="1" ht="31.2" hidden="1" x14ac:dyDescent="0.25">
      <c r="A69" s="198"/>
      <c r="B69" s="221" t="s">
        <v>121</v>
      </c>
      <c r="C69" s="208" t="s">
        <v>122</v>
      </c>
      <c r="D69" s="647" t="s">
        <v>116</v>
      </c>
      <c r="E69" s="462" t="s">
        <v>123</v>
      </c>
      <c r="F69" s="201">
        <f t="shared" si="6"/>
        <v>0</v>
      </c>
      <c r="G69" s="203"/>
      <c r="H69" s="203"/>
      <c r="I69" s="203"/>
      <c r="J69" s="207"/>
      <c r="K69" s="204">
        <f t="shared" si="5"/>
        <v>0</v>
      </c>
      <c r="L69" s="209"/>
      <c r="M69" s="209"/>
      <c r="N69" s="209"/>
      <c r="O69" s="209"/>
      <c r="P69" s="209"/>
      <c r="Q69" s="209"/>
      <c r="R69" s="206">
        <f t="shared" si="3"/>
        <v>0</v>
      </c>
    </row>
    <row r="70" spans="1:18" s="185" customFormat="1" ht="15.6" x14ac:dyDescent="0.25">
      <c r="A70" s="198"/>
      <c r="B70" s="221" t="s">
        <v>790</v>
      </c>
      <c r="C70" s="208" t="s">
        <v>796</v>
      </c>
      <c r="D70" s="647" t="s">
        <v>116</v>
      </c>
      <c r="E70" s="462" t="s">
        <v>797</v>
      </c>
      <c r="F70" s="201">
        <f t="shared" si="6"/>
        <v>153000</v>
      </c>
      <c r="G70" s="203">
        <v>153000</v>
      </c>
      <c r="H70" s="203"/>
      <c r="I70" s="203"/>
      <c r="J70" s="207"/>
      <c r="K70" s="217">
        <f t="shared" si="5"/>
        <v>128000</v>
      </c>
      <c r="L70" s="207">
        <v>128000</v>
      </c>
      <c r="M70" s="209"/>
      <c r="N70" s="209"/>
      <c r="O70" s="209"/>
      <c r="P70" s="209"/>
      <c r="Q70" s="209">
        <v>128000</v>
      </c>
      <c r="R70" s="206">
        <f>F70+K70</f>
        <v>281000</v>
      </c>
    </row>
    <row r="71" spans="1:18" s="185" customFormat="1" ht="31.2" hidden="1" x14ac:dyDescent="0.25">
      <c r="A71" s="198"/>
      <c r="B71" s="221"/>
      <c r="C71" s="208"/>
      <c r="D71" s="647"/>
      <c r="E71" s="462" t="s">
        <v>851</v>
      </c>
      <c r="F71" s="201">
        <f t="shared" si="6"/>
        <v>0</v>
      </c>
      <c r="G71" s="203"/>
      <c r="H71" s="203"/>
      <c r="I71" s="203"/>
      <c r="J71" s="207"/>
      <c r="K71" s="204"/>
      <c r="L71" s="209"/>
      <c r="M71" s="209"/>
      <c r="N71" s="209"/>
      <c r="O71" s="209"/>
      <c r="P71" s="209"/>
      <c r="Q71" s="209"/>
      <c r="R71" s="206">
        <f t="shared" si="3"/>
        <v>0</v>
      </c>
    </row>
    <row r="72" spans="1:18" s="185" customFormat="1" ht="42" hidden="1" customHeight="1" x14ac:dyDescent="0.25">
      <c r="A72" s="198"/>
      <c r="B72" s="221" t="s">
        <v>124</v>
      </c>
      <c r="C72" s="208" t="s">
        <v>125</v>
      </c>
      <c r="D72" s="647" t="s">
        <v>126</v>
      </c>
      <c r="E72" s="462" t="s">
        <v>127</v>
      </c>
      <c r="F72" s="201">
        <f t="shared" si="6"/>
        <v>0</v>
      </c>
      <c r="G72" s="203"/>
      <c r="H72" s="203"/>
      <c r="I72" s="203"/>
      <c r="J72" s="207"/>
      <c r="K72" s="204"/>
      <c r="L72" s="209"/>
      <c r="M72" s="209"/>
      <c r="N72" s="209"/>
      <c r="O72" s="209"/>
      <c r="P72" s="209"/>
      <c r="Q72" s="209"/>
      <c r="R72" s="206">
        <f t="shared" si="3"/>
        <v>0</v>
      </c>
    </row>
    <row r="73" spans="1:18" s="185" customFormat="1" ht="15.6" hidden="1" x14ac:dyDescent="0.25">
      <c r="A73" s="198"/>
      <c r="B73" s="221" t="s">
        <v>128</v>
      </c>
      <c r="C73" s="208" t="s">
        <v>129</v>
      </c>
      <c r="D73" s="647" t="s">
        <v>126</v>
      </c>
      <c r="E73" s="462" t="s">
        <v>130</v>
      </c>
      <c r="F73" s="201">
        <f t="shared" si="6"/>
        <v>0</v>
      </c>
      <c r="G73" s="203"/>
      <c r="H73" s="203"/>
      <c r="I73" s="203"/>
      <c r="J73" s="207"/>
      <c r="K73" s="204">
        <f t="shared" si="5"/>
        <v>0</v>
      </c>
      <c r="L73" s="209"/>
      <c r="M73" s="209"/>
      <c r="N73" s="209"/>
      <c r="O73" s="209"/>
      <c r="P73" s="209"/>
      <c r="Q73" s="209"/>
      <c r="R73" s="206">
        <f t="shared" si="3"/>
        <v>0</v>
      </c>
    </row>
    <row r="74" spans="1:18" s="185" customFormat="1" ht="15.6" hidden="1" x14ac:dyDescent="0.25">
      <c r="A74" s="198"/>
      <c r="B74" s="221" t="s">
        <v>426</v>
      </c>
      <c r="C74" s="208" t="s">
        <v>427</v>
      </c>
      <c r="D74" s="647" t="s">
        <v>428</v>
      </c>
      <c r="E74" s="669" t="s">
        <v>429</v>
      </c>
      <c r="F74" s="201">
        <f t="shared" si="6"/>
        <v>0</v>
      </c>
      <c r="G74" s="203"/>
      <c r="H74" s="203"/>
      <c r="I74" s="203"/>
      <c r="J74" s="207"/>
      <c r="K74" s="204">
        <f t="shared" si="5"/>
        <v>0</v>
      </c>
      <c r="L74" s="209"/>
      <c r="M74" s="209"/>
      <c r="N74" s="209"/>
      <c r="O74" s="209"/>
      <c r="P74" s="209"/>
      <c r="Q74" s="209"/>
      <c r="R74" s="206">
        <f t="shared" si="3"/>
        <v>0</v>
      </c>
    </row>
    <row r="75" spans="1:18" s="185" customFormat="1" ht="15.6" hidden="1" x14ac:dyDescent="0.25">
      <c r="A75" s="198"/>
      <c r="B75" s="221"/>
      <c r="C75" s="208"/>
      <c r="D75" s="650"/>
      <c r="E75" s="670"/>
      <c r="F75" s="201"/>
      <c r="G75" s="201"/>
      <c r="H75" s="201"/>
      <c r="I75" s="201"/>
      <c r="J75" s="217"/>
      <c r="K75" s="204">
        <f t="shared" si="5"/>
        <v>0</v>
      </c>
      <c r="L75" s="204"/>
      <c r="M75" s="204"/>
      <c r="N75" s="204"/>
      <c r="O75" s="204"/>
      <c r="P75" s="204">
        <f t="shared" ref="P75:P84" si="7">O75</f>
        <v>0</v>
      </c>
      <c r="Q75" s="204"/>
      <c r="R75" s="206">
        <f t="shared" si="3"/>
        <v>0</v>
      </c>
    </row>
    <row r="76" spans="1:18" s="185" customFormat="1" ht="15.6" hidden="1" x14ac:dyDescent="0.25">
      <c r="A76" s="198"/>
      <c r="B76" s="221" t="s">
        <v>133</v>
      </c>
      <c r="C76" s="208" t="s">
        <v>134</v>
      </c>
      <c r="D76" s="647" t="s">
        <v>135</v>
      </c>
      <c r="E76" s="462" t="s">
        <v>136</v>
      </c>
      <c r="F76" s="201">
        <f t="shared" si="6"/>
        <v>0</v>
      </c>
      <c r="G76" s="203"/>
      <c r="H76" s="203"/>
      <c r="I76" s="203"/>
      <c r="J76" s="203"/>
      <c r="K76" s="683">
        <f t="shared" si="5"/>
        <v>0</v>
      </c>
      <c r="L76" s="685"/>
      <c r="M76" s="685"/>
      <c r="N76" s="685"/>
      <c r="O76" s="774"/>
      <c r="P76" s="774">
        <f t="shared" si="7"/>
        <v>0</v>
      </c>
      <c r="Q76" s="774"/>
      <c r="R76" s="623">
        <f t="shared" si="3"/>
        <v>0</v>
      </c>
    </row>
    <row r="77" spans="1:18" s="185" customFormat="1" ht="15" hidden="1" customHeight="1" x14ac:dyDescent="0.25">
      <c r="A77" s="198"/>
      <c r="B77" s="221" t="s">
        <v>137</v>
      </c>
      <c r="C77" s="208" t="s">
        <v>138</v>
      </c>
      <c r="D77" s="647" t="s">
        <v>139</v>
      </c>
      <c r="E77" s="462" t="s">
        <v>140</v>
      </c>
      <c r="F77" s="201">
        <f t="shared" si="6"/>
        <v>0</v>
      </c>
      <c r="G77" s="203"/>
      <c r="H77" s="203"/>
      <c r="I77" s="203"/>
      <c r="J77" s="207"/>
      <c r="K77" s="204">
        <f t="shared" si="5"/>
        <v>0</v>
      </c>
      <c r="L77" s="209"/>
      <c r="M77" s="209"/>
      <c r="N77" s="209"/>
      <c r="O77" s="209"/>
      <c r="P77" s="209">
        <f t="shared" si="7"/>
        <v>0</v>
      </c>
      <c r="Q77" s="209"/>
      <c r="R77" s="206">
        <f t="shared" si="3"/>
        <v>0</v>
      </c>
    </row>
    <row r="78" spans="1:18" s="185" customFormat="1" ht="15.6" hidden="1" x14ac:dyDescent="0.25">
      <c r="A78" s="198"/>
      <c r="B78" s="221"/>
      <c r="C78" s="208"/>
      <c r="D78" s="647"/>
      <c r="E78" s="462"/>
      <c r="F78" s="207"/>
      <c r="G78" s="207"/>
      <c r="H78" s="203"/>
      <c r="I78" s="203"/>
      <c r="J78" s="203"/>
      <c r="K78" s="204">
        <f t="shared" si="5"/>
        <v>0</v>
      </c>
      <c r="L78" s="209"/>
      <c r="M78" s="209"/>
      <c r="N78" s="209"/>
      <c r="O78" s="209"/>
      <c r="P78" s="209">
        <f t="shared" si="7"/>
        <v>0</v>
      </c>
      <c r="Q78" s="209">
        <f>O78</f>
        <v>0</v>
      </c>
      <c r="R78" s="206">
        <f t="shared" si="3"/>
        <v>0</v>
      </c>
    </row>
    <row r="79" spans="1:18" s="185" customFormat="1" ht="46.8" hidden="1" x14ac:dyDescent="0.25">
      <c r="A79" s="198"/>
      <c r="B79" s="221" t="s">
        <v>430</v>
      </c>
      <c r="C79" s="208" t="s">
        <v>431</v>
      </c>
      <c r="D79" s="647" t="s">
        <v>24</v>
      </c>
      <c r="E79" s="462" t="s">
        <v>432</v>
      </c>
      <c r="F79" s="201">
        <f t="shared" si="6"/>
        <v>0</v>
      </c>
      <c r="G79" s="227"/>
      <c r="H79" s="203"/>
      <c r="I79" s="203"/>
      <c r="J79" s="203"/>
      <c r="K79" s="204">
        <f t="shared" si="5"/>
        <v>0</v>
      </c>
      <c r="L79" s="209"/>
      <c r="M79" s="209"/>
      <c r="N79" s="209"/>
      <c r="O79" s="209"/>
      <c r="P79" s="209">
        <f t="shared" si="7"/>
        <v>0</v>
      </c>
      <c r="Q79" s="209">
        <f>O79</f>
        <v>0</v>
      </c>
      <c r="R79" s="206">
        <f t="shared" si="3"/>
        <v>0</v>
      </c>
    </row>
    <row r="80" spans="1:18" s="185" customFormat="1" ht="31.2" hidden="1" x14ac:dyDescent="0.25">
      <c r="A80" s="198"/>
      <c r="B80" s="221"/>
      <c r="C80" s="208"/>
      <c r="D80" s="647"/>
      <c r="E80" s="462" t="s">
        <v>433</v>
      </c>
      <c r="F80" s="201">
        <f t="shared" si="6"/>
        <v>0</v>
      </c>
      <c r="G80" s="227"/>
      <c r="H80" s="203"/>
      <c r="I80" s="203"/>
      <c r="J80" s="203"/>
      <c r="K80" s="204">
        <f t="shared" si="5"/>
        <v>0</v>
      </c>
      <c r="L80" s="209"/>
      <c r="M80" s="209"/>
      <c r="N80" s="209"/>
      <c r="O80" s="209"/>
      <c r="P80" s="209">
        <f t="shared" si="7"/>
        <v>0</v>
      </c>
      <c r="Q80" s="209"/>
      <c r="R80" s="206">
        <f t="shared" si="3"/>
        <v>0</v>
      </c>
    </row>
    <row r="81" spans="1:19" s="185" customFormat="1" ht="46.8" hidden="1" x14ac:dyDescent="0.25">
      <c r="A81" s="198"/>
      <c r="B81" s="221" t="s">
        <v>599</v>
      </c>
      <c r="C81" s="208" t="s">
        <v>715</v>
      </c>
      <c r="D81" s="647" t="s">
        <v>24</v>
      </c>
      <c r="E81" s="671" t="s">
        <v>719</v>
      </c>
      <c r="F81" s="201">
        <f t="shared" si="6"/>
        <v>0</v>
      </c>
      <c r="G81" s="203"/>
      <c r="H81" s="203"/>
      <c r="I81" s="203"/>
      <c r="J81" s="203"/>
      <c r="K81" s="217">
        <f t="shared" si="5"/>
        <v>0</v>
      </c>
      <c r="L81" s="207"/>
      <c r="M81" s="207"/>
      <c r="N81" s="207"/>
      <c r="O81" s="207"/>
      <c r="P81" s="207">
        <f t="shared" si="7"/>
        <v>0</v>
      </c>
      <c r="Q81" s="207"/>
      <c r="R81" s="206">
        <f t="shared" si="3"/>
        <v>0</v>
      </c>
    </row>
    <row r="82" spans="1:19" s="185" customFormat="1" ht="15" hidden="1" customHeight="1" x14ac:dyDescent="0.25">
      <c r="A82" s="198"/>
      <c r="B82" s="228" t="s">
        <v>434</v>
      </c>
      <c r="C82" s="208"/>
      <c r="D82" s="647"/>
      <c r="E82" s="671"/>
      <c r="F82" s="201">
        <f t="shared" si="6"/>
        <v>0</v>
      </c>
      <c r="G82" s="203"/>
      <c r="H82" s="203"/>
      <c r="I82" s="203"/>
      <c r="J82" s="203"/>
      <c r="K82" s="204">
        <f t="shared" si="5"/>
        <v>0</v>
      </c>
      <c r="L82" s="209"/>
      <c r="M82" s="209"/>
      <c r="N82" s="209"/>
      <c r="O82" s="209"/>
      <c r="P82" s="209">
        <f t="shared" si="7"/>
        <v>0</v>
      </c>
      <c r="Q82" s="209"/>
      <c r="R82" s="206">
        <f t="shared" si="3"/>
        <v>0</v>
      </c>
    </row>
    <row r="83" spans="1:19" s="185" customFormat="1" ht="15" hidden="1" customHeight="1" x14ac:dyDescent="0.25">
      <c r="A83" s="198"/>
      <c r="B83" s="228"/>
      <c r="C83" s="208"/>
      <c r="D83" s="647"/>
      <c r="E83" s="671"/>
      <c r="F83" s="201">
        <f t="shared" si="6"/>
        <v>0</v>
      </c>
      <c r="G83" s="203"/>
      <c r="H83" s="203"/>
      <c r="I83" s="203"/>
      <c r="J83" s="203"/>
      <c r="K83" s="204">
        <f t="shared" si="5"/>
        <v>0</v>
      </c>
      <c r="L83" s="209"/>
      <c r="M83" s="209"/>
      <c r="N83" s="209"/>
      <c r="O83" s="209"/>
      <c r="P83" s="209">
        <f t="shared" si="7"/>
        <v>0</v>
      </c>
      <c r="Q83" s="209"/>
      <c r="R83" s="206">
        <f t="shared" si="3"/>
        <v>0</v>
      </c>
    </row>
    <row r="84" spans="1:19" s="185" customFormat="1" ht="15" hidden="1" customHeight="1" x14ac:dyDescent="0.25">
      <c r="A84" s="198"/>
      <c r="B84" s="228"/>
      <c r="C84" s="208"/>
      <c r="D84" s="647"/>
      <c r="E84" s="671"/>
      <c r="F84" s="201">
        <f t="shared" si="6"/>
        <v>0</v>
      </c>
      <c r="G84" s="203"/>
      <c r="H84" s="203"/>
      <c r="I84" s="203"/>
      <c r="J84" s="203"/>
      <c r="K84" s="204">
        <f t="shared" si="5"/>
        <v>0</v>
      </c>
      <c r="L84" s="209"/>
      <c r="M84" s="209"/>
      <c r="N84" s="209"/>
      <c r="O84" s="209"/>
      <c r="P84" s="209">
        <f t="shared" si="7"/>
        <v>0</v>
      </c>
      <c r="Q84" s="209"/>
      <c r="R84" s="206">
        <f t="shared" si="3"/>
        <v>0</v>
      </c>
    </row>
    <row r="85" spans="1:19" s="185" customFormat="1" ht="15" hidden="1" customHeight="1" x14ac:dyDescent="0.25">
      <c r="A85" s="198"/>
      <c r="B85" s="229"/>
      <c r="C85" s="210" t="s">
        <v>295</v>
      </c>
      <c r="D85" s="648"/>
      <c r="E85" s="672"/>
      <c r="F85" s="211">
        <f t="shared" ref="F85:R85" si="8">SUM(F17:F84)-F18-F29-F50</f>
        <v>3016959</v>
      </c>
      <c r="G85" s="211">
        <f t="shared" si="8"/>
        <v>3016959</v>
      </c>
      <c r="H85" s="211">
        <f t="shared" si="8"/>
        <v>40984</v>
      </c>
      <c r="I85" s="211">
        <f t="shared" si="8"/>
        <v>50000</v>
      </c>
      <c r="J85" s="211">
        <f t="shared" si="8"/>
        <v>0</v>
      </c>
      <c r="K85" s="211">
        <f t="shared" si="8"/>
        <v>164780</v>
      </c>
      <c r="L85" s="211">
        <f t="shared" si="8"/>
        <v>164780</v>
      </c>
      <c r="M85" s="211">
        <f t="shared" si="8"/>
        <v>0</v>
      </c>
      <c r="N85" s="211">
        <f t="shared" si="8"/>
        <v>0</v>
      </c>
      <c r="O85" s="211">
        <f t="shared" si="8"/>
        <v>0</v>
      </c>
      <c r="P85" s="211">
        <f t="shared" si="8"/>
        <v>0</v>
      </c>
      <c r="Q85" s="211">
        <f t="shared" si="8"/>
        <v>164780</v>
      </c>
      <c r="R85" s="673">
        <f t="shared" si="8"/>
        <v>3181739</v>
      </c>
    </row>
    <row r="86" spans="1:19" s="185" customFormat="1" ht="15.6" x14ac:dyDescent="0.25">
      <c r="A86" s="198"/>
      <c r="B86" s="230"/>
      <c r="C86" s="208"/>
      <c r="D86" s="647"/>
      <c r="E86" s="462"/>
      <c r="F86" s="203">
        <f t="shared" ref="F86:Q86" si="9">F13-F85</f>
        <v>0</v>
      </c>
      <c r="G86" s="203">
        <f t="shared" si="9"/>
        <v>0</v>
      </c>
      <c r="H86" s="203">
        <f t="shared" si="9"/>
        <v>0</v>
      </c>
      <c r="I86" s="203">
        <f t="shared" si="9"/>
        <v>0</v>
      </c>
      <c r="J86" s="203">
        <f t="shared" si="9"/>
        <v>0</v>
      </c>
      <c r="K86" s="203">
        <f t="shared" si="9"/>
        <v>0</v>
      </c>
      <c r="L86" s="203">
        <f t="shared" si="9"/>
        <v>0</v>
      </c>
      <c r="M86" s="203">
        <f t="shared" si="9"/>
        <v>0</v>
      </c>
      <c r="N86" s="203">
        <f t="shared" si="9"/>
        <v>0</v>
      </c>
      <c r="O86" s="203">
        <f t="shared" si="9"/>
        <v>0</v>
      </c>
      <c r="P86" s="203">
        <f t="shared" si="9"/>
        <v>0</v>
      </c>
      <c r="Q86" s="203">
        <f t="shared" si="9"/>
        <v>0</v>
      </c>
      <c r="R86" s="206">
        <f t="shared" si="3"/>
        <v>0</v>
      </c>
    </row>
    <row r="87" spans="1:19" s="185" customFormat="1" ht="31.2" x14ac:dyDescent="0.25">
      <c r="A87" s="198"/>
      <c r="B87" s="199" t="s">
        <v>141</v>
      </c>
      <c r="C87" s="208"/>
      <c r="D87" s="647"/>
      <c r="E87" s="660" t="s">
        <v>435</v>
      </c>
      <c r="F87" s="201">
        <f>F88</f>
        <v>361852.14</v>
      </c>
      <c r="G87" s="201">
        <f t="shared" ref="G87:R87" si="10">G88</f>
        <v>361852.14</v>
      </c>
      <c r="H87" s="201">
        <f t="shared" si="10"/>
        <v>64000</v>
      </c>
      <c r="I87" s="201">
        <f t="shared" si="10"/>
        <v>0</v>
      </c>
      <c r="J87" s="201">
        <f t="shared" si="10"/>
        <v>0</v>
      </c>
      <c r="K87" s="201">
        <f t="shared" si="10"/>
        <v>491581</v>
      </c>
      <c r="L87" s="201">
        <f t="shared" si="10"/>
        <v>491581</v>
      </c>
      <c r="M87" s="201">
        <f t="shared" si="10"/>
        <v>0</v>
      </c>
      <c r="N87" s="201">
        <f t="shared" si="10"/>
        <v>0</v>
      </c>
      <c r="O87" s="201">
        <f t="shared" si="10"/>
        <v>0</v>
      </c>
      <c r="P87" s="201">
        <f t="shared" si="10"/>
        <v>0</v>
      </c>
      <c r="Q87" s="201">
        <f t="shared" si="10"/>
        <v>491581</v>
      </c>
      <c r="R87" s="206">
        <f t="shared" si="10"/>
        <v>853433.14</v>
      </c>
    </row>
    <row r="88" spans="1:19" s="185" customFormat="1" ht="31.2" x14ac:dyDescent="0.25">
      <c r="A88" s="198"/>
      <c r="B88" s="199" t="s">
        <v>436</v>
      </c>
      <c r="C88" s="208" t="s">
        <v>439</v>
      </c>
      <c r="D88" s="647"/>
      <c r="E88" s="660" t="s">
        <v>435</v>
      </c>
      <c r="F88" s="201">
        <f t="shared" ref="F88" si="11">F93+F95+F98+F99+F100+F107+F101+F104+F108+F110+F92+F96+F109+F111+F112+F105+F106+F103</f>
        <v>361852.14</v>
      </c>
      <c r="G88" s="201">
        <f>G93+G95+G98+G99+G100+G107+G101+G104+G108+G110+G92+G96+G109+G111+G112+G105+G106+G103</f>
        <v>361852.14</v>
      </c>
      <c r="H88" s="201">
        <f t="shared" ref="H88:R88" si="12">H93+H95+H98+H99+H100+H107+H101+H104+H108+H110+H92+H96+H109+H111+H112+H105+H106+H103</f>
        <v>64000</v>
      </c>
      <c r="I88" s="201">
        <f t="shared" si="12"/>
        <v>0</v>
      </c>
      <c r="J88" s="201">
        <f t="shared" si="12"/>
        <v>0</v>
      </c>
      <c r="K88" s="201">
        <f t="shared" si="12"/>
        <v>491581</v>
      </c>
      <c r="L88" s="201">
        <f>L93+L95+L98+L99+L100+L107+L101+L104+L108+L110+L92+L96+L109+L111+L112+L105+L106+L103</f>
        <v>491581</v>
      </c>
      <c r="M88" s="201">
        <f t="shared" si="12"/>
        <v>0</v>
      </c>
      <c r="N88" s="201">
        <f t="shared" si="12"/>
        <v>0</v>
      </c>
      <c r="O88" s="201">
        <f t="shared" si="12"/>
        <v>0</v>
      </c>
      <c r="P88" s="201">
        <f t="shared" si="12"/>
        <v>0</v>
      </c>
      <c r="Q88" s="201">
        <f t="shared" si="12"/>
        <v>491581</v>
      </c>
      <c r="R88" s="201">
        <f t="shared" si="12"/>
        <v>853433.14</v>
      </c>
      <c r="S88" s="232">
        <f>H88+O88</f>
        <v>64000</v>
      </c>
    </row>
    <row r="89" spans="1:19" s="185" customFormat="1" ht="31.2" hidden="1" x14ac:dyDescent="0.25">
      <c r="A89" s="198"/>
      <c r="B89" s="199"/>
      <c r="C89" s="208"/>
      <c r="D89" s="647"/>
      <c r="E89" s="462" t="s">
        <v>851</v>
      </c>
      <c r="F89" s="201">
        <f>G89+J89</f>
        <v>0</v>
      </c>
      <c r="G89" s="790"/>
      <c r="H89" s="233"/>
      <c r="I89" s="203"/>
      <c r="J89" s="203">
        <f t="shared" ref="J89:Q89" si="13">J96</f>
        <v>0</v>
      </c>
      <c r="K89" s="217">
        <f t="shared" si="5"/>
        <v>0</v>
      </c>
      <c r="L89" s="207">
        <f t="shared" si="13"/>
        <v>0</v>
      </c>
      <c r="M89" s="207"/>
      <c r="N89" s="207">
        <f t="shared" si="13"/>
        <v>0</v>
      </c>
      <c r="O89" s="207">
        <f t="shared" si="13"/>
        <v>0</v>
      </c>
      <c r="P89" s="207">
        <f t="shared" si="13"/>
        <v>0</v>
      </c>
      <c r="Q89" s="207">
        <f t="shared" si="13"/>
        <v>0</v>
      </c>
      <c r="R89" s="206">
        <f t="shared" si="3"/>
        <v>0</v>
      </c>
      <c r="S89" s="185">
        <f>S88/R88*100</f>
        <v>7.4991228955557085</v>
      </c>
    </row>
    <row r="90" spans="1:19" s="185" customFormat="1" ht="46.8" hidden="1" x14ac:dyDescent="0.25">
      <c r="A90" s="198"/>
      <c r="B90" s="199"/>
      <c r="C90" s="208"/>
      <c r="D90" s="647"/>
      <c r="E90" s="462" t="s">
        <v>440</v>
      </c>
      <c r="F90" s="201">
        <f>G90+J90</f>
        <v>0</v>
      </c>
      <c r="G90" s="201">
        <f>G109+G108</f>
        <v>0</v>
      </c>
      <c r="H90" s="201"/>
      <c r="I90" s="201">
        <f>I102</f>
        <v>0</v>
      </c>
      <c r="J90" s="203"/>
      <c r="K90" s="217">
        <f t="shared" si="5"/>
        <v>0</v>
      </c>
      <c r="L90" s="201">
        <f t="shared" ref="L90:Q90" si="14">L109</f>
        <v>0</v>
      </c>
      <c r="M90" s="201">
        <f t="shared" si="14"/>
        <v>0</v>
      </c>
      <c r="N90" s="201">
        <f t="shared" si="14"/>
        <v>0</v>
      </c>
      <c r="O90" s="201">
        <f t="shared" si="14"/>
        <v>0</v>
      </c>
      <c r="P90" s="201">
        <f t="shared" si="14"/>
        <v>0</v>
      </c>
      <c r="Q90" s="201">
        <f t="shared" si="14"/>
        <v>0</v>
      </c>
      <c r="R90" s="206">
        <f t="shared" si="3"/>
        <v>0</v>
      </c>
    </row>
    <row r="91" spans="1:19" s="185" customFormat="1" ht="62.4" hidden="1" x14ac:dyDescent="0.25">
      <c r="A91" s="198"/>
      <c r="B91" s="199"/>
      <c r="C91" s="208"/>
      <c r="D91" s="647"/>
      <c r="E91" s="462" t="s">
        <v>441</v>
      </c>
      <c r="F91" s="201">
        <f t="shared" ref="F91:Q91" si="15">F97+F94</f>
        <v>0</v>
      </c>
      <c r="G91" s="201">
        <f t="shared" si="15"/>
        <v>0</v>
      </c>
      <c r="H91" s="201">
        <f t="shared" si="15"/>
        <v>0</v>
      </c>
      <c r="I91" s="201">
        <f t="shared" si="15"/>
        <v>0</v>
      </c>
      <c r="J91" s="201">
        <f t="shared" si="15"/>
        <v>0</v>
      </c>
      <c r="K91" s="201">
        <f t="shared" si="15"/>
        <v>0</v>
      </c>
      <c r="L91" s="201">
        <f t="shared" si="15"/>
        <v>0</v>
      </c>
      <c r="M91" s="201">
        <f t="shared" si="15"/>
        <v>0</v>
      </c>
      <c r="N91" s="201">
        <f t="shared" si="15"/>
        <v>0</v>
      </c>
      <c r="O91" s="201">
        <f t="shared" si="15"/>
        <v>0</v>
      </c>
      <c r="P91" s="201">
        <f t="shared" si="15"/>
        <v>0</v>
      </c>
      <c r="Q91" s="201">
        <f t="shared" si="15"/>
        <v>0</v>
      </c>
      <c r="R91" s="206">
        <f t="shared" si="3"/>
        <v>0</v>
      </c>
    </row>
    <row r="92" spans="1:19" s="185" customFormat="1" ht="46.8" hidden="1" x14ac:dyDescent="0.25">
      <c r="A92" s="198"/>
      <c r="B92" s="230"/>
      <c r="C92" s="231" t="s">
        <v>437</v>
      </c>
      <c r="D92" s="652" t="s">
        <v>19</v>
      </c>
      <c r="E92" s="674" t="s">
        <v>438</v>
      </c>
      <c r="F92" s="201"/>
      <c r="G92" s="201"/>
      <c r="H92" s="201"/>
      <c r="I92" s="201"/>
      <c r="J92" s="201"/>
      <c r="K92" s="201"/>
      <c r="L92" s="201"/>
      <c r="M92" s="201"/>
      <c r="N92" s="201"/>
      <c r="O92" s="201"/>
      <c r="P92" s="201"/>
      <c r="Q92" s="201"/>
      <c r="R92" s="206">
        <f t="shared" si="3"/>
        <v>0</v>
      </c>
    </row>
    <row r="93" spans="1:19" s="185" customFormat="1" ht="15.6" hidden="1" x14ac:dyDescent="0.25">
      <c r="A93" s="198"/>
      <c r="B93" s="230" t="s">
        <v>143</v>
      </c>
      <c r="C93" s="225" t="s">
        <v>53</v>
      </c>
      <c r="D93" s="650" t="s">
        <v>144</v>
      </c>
      <c r="E93" s="462" t="s">
        <v>442</v>
      </c>
      <c r="F93" s="201">
        <f t="shared" ref="F93:F104" si="16">G93+J93</f>
        <v>0</v>
      </c>
      <c r="G93" s="203"/>
      <c r="H93" s="203"/>
      <c r="I93" s="203"/>
      <c r="J93" s="203"/>
      <c r="K93" s="217">
        <f t="shared" si="5"/>
        <v>0</v>
      </c>
      <c r="L93" s="207"/>
      <c r="M93" s="207"/>
      <c r="N93" s="207"/>
      <c r="O93" s="207"/>
      <c r="P93" s="207"/>
      <c r="Q93" s="207"/>
      <c r="R93" s="206">
        <f t="shared" si="3"/>
        <v>0</v>
      </c>
    </row>
    <row r="94" spans="1:19" s="185" customFormat="1" ht="62.4" hidden="1" x14ac:dyDescent="0.25">
      <c r="A94" s="198"/>
      <c r="B94" s="230"/>
      <c r="C94" s="225"/>
      <c r="D94" s="650"/>
      <c r="E94" s="462" t="s">
        <v>441</v>
      </c>
      <c r="F94" s="201">
        <f>G94+J94</f>
        <v>0</v>
      </c>
      <c r="G94" s="234"/>
      <c r="H94" s="203"/>
      <c r="I94" s="203"/>
      <c r="J94" s="203"/>
      <c r="K94" s="217">
        <f t="shared" si="5"/>
        <v>0</v>
      </c>
      <c r="L94" s="207"/>
      <c r="M94" s="207"/>
      <c r="N94" s="207"/>
      <c r="O94" s="207"/>
      <c r="P94" s="207"/>
      <c r="Q94" s="207"/>
      <c r="R94" s="206">
        <f t="shared" si="3"/>
        <v>0</v>
      </c>
    </row>
    <row r="95" spans="1:19" s="185" customFormat="1" ht="31.2" x14ac:dyDescent="0.25">
      <c r="A95" s="198"/>
      <c r="B95" s="221" t="s">
        <v>146</v>
      </c>
      <c r="C95" s="225" t="s">
        <v>147</v>
      </c>
      <c r="D95" s="650" t="s">
        <v>148</v>
      </c>
      <c r="E95" s="462" t="s">
        <v>443</v>
      </c>
      <c r="F95" s="201">
        <f t="shared" si="16"/>
        <v>267752.14</v>
      </c>
      <c r="G95" s="203">
        <v>267752.14</v>
      </c>
      <c r="H95" s="203"/>
      <c r="I95" s="207"/>
      <c r="J95" s="203"/>
      <c r="K95" s="217">
        <f t="shared" si="5"/>
        <v>-137580</v>
      </c>
      <c r="L95" s="207">
        <v>-137580</v>
      </c>
      <c r="M95" s="207"/>
      <c r="N95" s="207"/>
      <c r="O95" s="207"/>
      <c r="P95" s="207"/>
      <c r="Q95" s="207">
        <v>-137580</v>
      </c>
      <c r="R95" s="206">
        <f t="shared" si="3"/>
        <v>130172.14000000001</v>
      </c>
    </row>
    <row r="96" spans="1:19" s="185" customFormat="1" ht="31.2" hidden="1" x14ac:dyDescent="0.25">
      <c r="A96" s="198"/>
      <c r="B96" s="219" t="s">
        <v>444</v>
      </c>
      <c r="C96" s="235" t="s">
        <v>445</v>
      </c>
      <c r="D96" s="653" t="s">
        <v>148</v>
      </c>
      <c r="E96" s="665" t="s">
        <v>443</v>
      </c>
      <c r="F96" s="683">
        <f t="shared" si="16"/>
        <v>0</v>
      </c>
      <c r="G96" s="684"/>
      <c r="H96" s="685"/>
      <c r="I96" s="686"/>
      <c r="J96" s="686"/>
      <c r="K96" s="683">
        <f t="shared" si="5"/>
        <v>0</v>
      </c>
      <c r="L96" s="685"/>
      <c r="M96" s="685"/>
      <c r="N96" s="685"/>
      <c r="O96" s="685"/>
      <c r="P96" s="685"/>
      <c r="Q96" s="685"/>
      <c r="R96" s="623">
        <f t="shared" si="3"/>
        <v>0</v>
      </c>
    </row>
    <row r="97" spans="1:18" s="185" customFormat="1" ht="63" hidden="1" customHeight="1" x14ac:dyDescent="0.25">
      <c r="A97" s="198"/>
      <c r="B97" s="221"/>
      <c r="C97" s="225"/>
      <c r="D97" s="650"/>
      <c r="E97" s="462" t="s">
        <v>441</v>
      </c>
      <c r="F97" s="201">
        <f t="shared" si="16"/>
        <v>0</v>
      </c>
      <c r="G97" s="234"/>
      <c r="H97" s="203"/>
      <c r="I97" s="203"/>
      <c r="J97" s="203"/>
      <c r="K97" s="217">
        <f>N97+L97</f>
        <v>0</v>
      </c>
      <c r="L97" s="207"/>
      <c r="M97" s="207"/>
      <c r="N97" s="207"/>
      <c r="O97" s="207"/>
      <c r="P97" s="207"/>
      <c r="Q97" s="207"/>
      <c r="R97" s="206">
        <f t="shared" si="3"/>
        <v>0</v>
      </c>
    </row>
    <row r="98" spans="1:18" s="185" customFormat="1" ht="46.8" hidden="1" x14ac:dyDescent="0.25">
      <c r="A98" s="198"/>
      <c r="B98" s="221" t="s">
        <v>150</v>
      </c>
      <c r="C98" s="225" t="s">
        <v>29</v>
      </c>
      <c r="D98" s="650" t="s">
        <v>151</v>
      </c>
      <c r="E98" s="462" t="s">
        <v>152</v>
      </c>
      <c r="F98" s="201">
        <f t="shared" si="16"/>
        <v>0</v>
      </c>
      <c r="G98" s="203"/>
      <c r="H98" s="203"/>
      <c r="I98" s="203"/>
      <c r="J98" s="203"/>
      <c r="K98" s="217">
        <f t="shared" si="5"/>
        <v>0</v>
      </c>
      <c r="L98" s="207"/>
      <c r="M98" s="207"/>
      <c r="N98" s="207"/>
      <c r="O98" s="207"/>
      <c r="P98" s="207"/>
      <c r="Q98" s="207"/>
      <c r="R98" s="206">
        <f t="shared" si="3"/>
        <v>0</v>
      </c>
    </row>
    <row r="99" spans="1:18" s="185" customFormat="1" ht="15.6" hidden="1" customHeight="1" x14ac:dyDescent="0.25">
      <c r="A99" s="198"/>
      <c r="B99" s="787" t="s">
        <v>153</v>
      </c>
      <c r="C99" s="751" t="s">
        <v>154</v>
      </c>
      <c r="D99" s="788" t="s">
        <v>155</v>
      </c>
      <c r="E99" s="679" t="s">
        <v>156</v>
      </c>
      <c r="F99" s="201">
        <f t="shared" si="16"/>
        <v>0</v>
      </c>
      <c r="G99" s="203"/>
      <c r="H99" s="203"/>
      <c r="I99" s="203"/>
      <c r="J99" s="203"/>
      <c r="K99" s="217">
        <f t="shared" si="5"/>
        <v>0</v>
      </c>
      <c r="L99" s="207"/>
      <c r="M99" s="207"/>
      <c r="N99" s="207"/>
      <c r="O99" s="207"/>
      <c r="P99" s="207"/>
      <c r="Q99" s="207"/>
      <c r="R99" s="206">
        <f t="shared" si="3"/>
        <v>0</v>
      </c>
    </row>
    <row r="100" spans="1:18" s="185" customFormat="1" ht="15.6" hidden="1" customHeight="1" x14ac:dyDescent="0.25">
      <c r="A100" s="198"/>
      <c r="B100" s="787" t="s">
        <v>157</v>
      </c>
      <c r="C100" s="751" t="s">
        <v>158</v>
      </c>
      <c r="D100" s="788" t="s">
        <v>155</v>
      </c>
      <c r="E100" s="679" t="s">
        <v>159</v>
      </c>
      <c r="F100" s="201">
        <f t="shared" si="16"/>
        <v>0</v>
      </c>
      <c r="G100" s="207"/>
      <c r="H100" s="217"/>
      <c r="I100" s="217"/>
      <c r="J100" s="217"/>
      <c r="K100" s="217">
        <f t="shared" si="5"/>
        <v>0</v>
      </c>
      <c r="L100" s="217"/>
      <c r="M100" s="217"/>
      <c r="N100" s="217"/>
      <c r="O100" s="217"/>
      <c r="P100" s="217"/>
      <c r="Q100" s="217"/>
      <c r="R100" s="206">
        <f t="shared" si="3"/>
        <v>0</v>
      </c>
    </row>
    <row r="101" spans="1:18" s="185" customFormat="1" ht="31.2" hidden="1" customHeight="1" x14ac:dyDescent="0.25">
      <c r="A101" s="198"/>
      <c r="B101" s="789" t="s">
        <v>447</v>
      </c>
      <c r="C101" s="751" t="s">
        <v>448</v>
      </c>
      <c r="D101" s="788" t="s">
        <v>155</v>
      </c>
      <c r="E101" s="679" t="s">
        <v>449</v>
      </c>
      <c r="F101" s="201">
        <f t="shared" si="16"/>
        <v>0</v>
      </c>
      <c r="G101" s="207"/>
      <c r="H101" s="207"/>
      <c r="I101" s="207"/>
      <c r="J101" s="207"/>
      <c r="K101" s="217">
        <f t="shared" si="5"/>
        <v>0</v>
      </c>
      <c r="L101" s="207"/>
      <c r="M101" s="207"/>
      <c r="N101" s="207"/>
      <c r="O101" s="207"/>
      <c r="P101" s="207"/>
      <c r="Q101" s="207"/>
      <c r="R101" s="206">
        <f t="shared" ref="R101:R112" si="17">F101+K101</f>
        <v>0</v>
      </c>
    </row>
    <row r="102" spans="1:18" s="185" customFormat="1" ht="46.95" hidden="1" customHeight="1" x14ac:dyDescent="0.25">
      <c r="A102" s="198"/>
      <c r="B102" s="789" t="s">
        <v>450</v>
      </c>
      <c r="C102" s="751" t="s">
        <v>451</v>
      </c>
      <c r="D102" s="788" t="s">
        <v>155</v>
      </c>
      <c r="E102" s="693" t="s">
        <v>452</v>
      </c>
      <c r="F102" s="201">
        <f t="shared" si="16"/>
        <v>0</v>
      </c>
      <c r="G102" s="217"/>
      <c r="H102" s="217"/>
      <c r="I102" s="217"/>
      <c r="J102" s="207"/>
      <c r="K102" s="217">
        <f t="shared" si="5"/>
        <v>0</v>
      </c>
      <c r="L102" s="207"/>
      <c r="M102" s="207"/>
      <c r="N102" s="207"/>
      <c r="O102" s="207"/>
      <c r="P102" s="207"/>
      <c r="Q102" s="207"/>
      <c r="R102" s="206">
        <f t="shared" si="17"/>
        <v>0</v>
      </c>
    </row>
    <row r="103" spans="1:18" s="185" customFormat="1" ht="93.6" x14ac:dyDescent="0.25">
      <c r="A103" s="198"/>
      <c r="B103" s="789" t="s">
        <v>930</v>
      </c>
      <c r="C103" s="751" t="s">
        <v>1022</v>
      </c>
      <c r="D103" s="788" t="s">
        <v>155</v>
      </c>
      <c r="E103" s="693" t="s">
        <v>1023</v>
      </c>
      <c r="F103" s="201">
        <f t="shared" si="16"/>
        <v>94100</v>
      </c>
      <c r="G103" s="207">
        <v>94100</v>
      </c>
      <c r="H103" s="207">
        <v>64000</v>
      </c>
      <c r="I103" s="217"/>
      <c r="J103" s="207"/>
      <c r="K103" s="217">
        <f t="shared" si="5"/>
        <v>44500</v>
      </c>
      <c r="L103" s="207">
        <v>44500</v>
      </c>
      <c r="M103" s="207"/>
      <c r="N103" s="207"/>
      <c r="O103" s="207"/>
      <c r="P103" s="207"/>
      <c r="Q103" s="207">
        <v>44500</v>
      </c>
      <c r="R103" s="206">
        <f t="shared" si="17"/>
        <v>138600</v>
      </c>
    </row>
    <row r="104" spans="1:18" s="185" customFormat="1" ht="15.6" hidden="1" customHeight="1" x14ac:dyDescent="0.25">
      <c r="A104" s="198"/>
      <c r="B104" s="789" t="s">
        <v>446</v>
      </c>
      <c r="C104" s="778" t="s">
        <v>453</v>
      </c>
      <c r="D104" s="779" t="s">
        <v>155</v>
      </c>
      <c r="E104" s="693" t="s">
        <v>454</v>
      </c>
      <c r="F104" s="201">
        <f t="shared" si="16"/>
        <v>0</v>
      </c>
      <c r="G104" s="207"/>
      <c r="H104" s="207"/>
      <c r="I104" s="207"/>
      <c r="J104" s="207"/>
      <c r="K104" s="217">
        <f t="shared" si="5"/>
        <v>0</v>
      </c>
      <c r="L104" s="207"/>
      <c r="M104" s="207"/>
      <c r="N104" s="207"/>
      <c r="O104" s="207"/>
      <c r="P104" s="207"/>
      <c r="Q104" s="207"/>
      <c r="R104" s="206">
        <f t="shared" si="17"/>
        <v>0</v>
      </c>
    </row>
    <row r="105" spans="1:18" s="185" customFormat="1" ht="62.4" hidden="1" x14ac:dyDescent="0.25">
      <c r="A105" s="198"/>
      <c r="B105" s="789" t="s">
        <v>877</v>
      </c>
      <c r="C105" s="778" t="s">
        <v>890</v>
      </c>
      <c r="D105" s="779" t="s">
        <v>155</v>
      </c>
      <c r="E105" s="693" t="s">
        <v>892</v>
      </c>
      <c r="F105" s="217"/>
      <c r="G105" s="207"/>
      <c r="H105" s="207"/>
      <c r="I105" s="207"/>
      <c r="J105" s="207"/>
      <c r="K105" s="217">
        <f t="shared" si="5"/>
        <v>0</v>
      </c>
      <c r="L105" s="207"/>
      <c r="M105" s="207"/>
      <c r="N105" s="207"/>
      <c r="O105" s="207"/>
      <c r="P105" s="207"/>
      <c r="Q105" s="207"/>
      <c r="R105" s="206">
        <f t="shared" si="17"/>
        <v>0</v>
      </c>
    </row>
    <row r="106" spans="1:18" s="185" customFormat="1" ht="62.4" hidden="1" x14ac:dyDescent="0.25">
      <c r="A106" s="198"/>
      <c r="B106" s="789" t="s">
        <v>884</v>
      </c>
      <c r="C106" s="778" t="s">
        <v>891</v>
      </c>
      <c r="D106" s="779" t="s">
        <v>155</v>
      </c>
      <c r="E106" s="693" t="s">
        <v>893</v>
      </c>
      <c r="F106" s="217"/>
      <c r="G106" s="207"/>
      <c r="H106" s="207"/>
      <c r="I106" s="207"/>
      <c r="J106" s="207"/>
      <c r="K106" s="217">
        <f t="shared" si="5"/>
        <v>0</v>
      </c>
      <c r="L106" s="207"/>
      <c r="M106" s="207"/>
      <c r="N106" s="207"/>
      <c r="O106" s="207"/>
      <c r="P106" s="207"/>
      <c r="Q106" s="207"/>
      <c r="R106" s="206">
        <f t="shared" si="17"/>
        <v>0</v>
      </c>
    </row>
    <row r="107" spans="1:18" s="185" customFormat="1" ht="78" hidden="1" x14ac:dyDescent="0.25">
      <c r="A107" s="198"/>
      <c r="B107" s="789" t="s">
        <v>842</v>
      </c>
      <c r="C107" s="778" t="s">
        <v>848</v>
      </c>
      <c r="D107" s="779" t="s">
        <v>155</v>
      </c>
      <c r="E107" s="693" t="s">
        <v>849</v>
      </c>
      <c r="F107" s="217">
        <f t="shared" ref="F107:F110" si="18">G107+J107</f>
        <v>0</v>
      </c>
      <c r="G107" s="203"/>
      <c r="H107" s="203"/>
      <c r="I107" s="203"/>
      <c r="J107" s="203"/>
      <c r="K107" s="217">
        <f t="shared" si="5"/>
        <v>0</v>
      </c>
      <c r="L107" s="207"/>
      <c r="M107" s="207"/>
      <c r="N107" s="207"/>
      <c r="O107" s="207"/>
      <c r="P107" s="207"/>
      <c r="Q107" s="207"/>
      <c r="R107" s="206">
        <f t="shared" si="17"/>
        <v>0</v>
      </c>
    </row>
    <row r="108" spans="1:18" s="185" customFormat="1" ht="62.4" hidden="1" x14ac:dyDescent="0.25">
      <c r="A108" s="198"/>
      <c r="B108" s="789" t="s">
        <v>836</v>
      </c>
      <c r="C108" s="778" t="s">
        <v>847</v>
      </c>
      <c r="D108" s="779" t="s">
        <v>155</v>
      </c>
      <c r="E108" s="693" t="s">
        <v>850</v>
      </c>
      <c r="F108" s="217">
        <f t="shared" si="18"/>
        <v>0</v>
      </c>
      <c r="G108" s="207"/>
      <c r="H108" s="207"/>
      <c r="I108" s="203"/>
      <c r="J108" s="203"/>
      <c r="K108" s="217">
        <f t="shared" si="5"/>
        <v>0</v>
      </c>
      <c r="L108" s="207"/>
      <c r="M108" s="207"/>
      <c r="N108" s="207"/>
      <c r="O108" s="207"/>
      <c r="P108" s="207"/>
      <c r="Q108" s="207"/>
      <c r="R108" s="206">
        <f t="shared" si="17"/>
        <v>0</v>
      </c>
    </row>
    <row r="109" spans="1:18" s="185" customFormat="1" ht="62.4" hidden="1" x14ac:dyDescent="0.25">
      <c r="A109" s="198"/>
      <c r="B109" s="789" t="s">
        <v>455</v>
      </c>
      <c r="C109" s="778" t="s">
        <v>456</v>
      </c>
      <c r="D109" s="779" t="s">
        <v>155</v>
      </c>
      <c r="E109" s="693" t="s">
        <v>457</v>
      </c>
      <c r="F109" s="218">
        <f t="shared" si="18"/>
        <v>0</v>
      </c>
      <c r="G109" s="215"/>
      <c r="H109" s="215"/>
      <c r="I109" s="203"/>
      <c r="J109" s="203"/>
      <c r="K109" s="217">
        <f>N109+L109</f>
        <v>0</v>
      </c>
      <c r="L109" s="207"/>
      <c r="M109" s="207"/>
      <c r="N109" s="207"/>
      <c r="O109" s="207"/>
      <c r="P109" s="207"/>
      <c r="Q109" s="207"/>
      <c r="R109" s="206">
        <f t="shared" si="17"/>
        <v>0</v>
      </c>
    </row>
    <row r="110" spans="1:18" s="185" customFormat="1" ht="31.2" hidden="1" customHeight="1" x14ac:dyDescent="0.25">
      <c r="A110" s="198"/>
      <c r="B110" s="789"/>
      <c r="C110" s="778"/>
      <c r="D110" s="779"/>
      <c r="E110" s="693"/>
      <c r="F110" s="218">
        <f t="shared" si="18"/>
        <v>0</v>
      </c>
      <c r="G110" s="236"/>
      <c r="H110" s="220"/>
      <c r="I110" s="220"/>
      <c r="J110" s="203"/>
      <c r="K110" s="217">
        <f>N110+L110</f>
        <v>0</v>
      </c>
      <c r="L110" s="207"/>
      <c r="M110" s="207"/>
      <c r="N110" s="207"/>
      <c r="O110" s="207"/>
      <c r="P110" s="207"/>
      <c r="Q110" s="207"/>
      <c r="R110" s="206">
        <f t="shared" si="17"/>
        <v>0</v>
      </c>
    </row>
    <row r="111" spans="1:18" s="185" customFormat="1" ht="62.4" hidden="1" x14ac:dyDescent="0.25">
      <c r="A111" s="198"/>
      <c r="B111" s="789" t="s">
        <v>853</v>
      </c>
      <c r="C111" s="778" t="s">
        <v>854</v>
      </c>
      <c r="D111" s="779" t="s">
        <v>155</v>
      </c>
      <c r="E111" s="693" t="s">
        <v>852</v>
      </c>
      <c r="F111" s="622">
        <f>G111+J111</f>
        <v>0</v>
      </c>
      <c r="G111" s="688"/>
      <c r="H111" s="620"/>
      <c r="I111" s="686"/>
      <c r="J111" s="686"/>
      <c r="K111" s="683">
        <f>N111+L111</f>
        <v>0</v>
      </c>
      <c r="L111" s="685"/>
      <c r="M111" s="685"/>
      <c r="N111" s="685"/>
      <c r="O111" s="685"/>
      <c r="P111" s="685"/>
      <c r="Q111" s="685"/>
      <c r="R111" s="623">
        <f t="shared" si="17"/>
        <v>0</v>
      </c>
    </row>
    <row r="112" spans="1:18" s="185" customFormat="1" ht="15.6" x14ac:dyDescent="0.25">
      <c r="A112" s="198"/>
      <c r="B112" s="772" t="s">
        <v>556</v>
      </c>
      <c r="C112" s="208" t="s">
        <v>557</v>
      </c>
      <c r="D112" s="208" t="s">
        <v>172</v>
      </c>
      <c r="E112" s="773" t="s">
        <v>558</v>
      </c>
      <c r="F112" s="218">
        <f>G112+J112</f>
        <v>0</v>
      </c>
      <c r="G112" s="220"/>
      <c r="H112" s="237"/>
      <c r="I112" s="203"/>
      <c r="J112" s="203"/>
      <c r="K112" s="683">
        <f>N112+L112</f>
        <v>584661</v>
      </c>
      <c r="L112" s="685">
        <v>584661</v>
      </c>
      <c r="M112" s="685"/>
      <c r="N112" s="685"/>
      <c r="O112" s="685"/>
      <c r="P112" s="685"/>
      <c r="Q112" s="685">
        <v>584661</v>
      </c>
      <c r="R112" s="206">
        <f t="shared" si="17"/>
        <v>584661</v>
      </c>
    </row>
    <row r="113" spans="1:18" s="185" customFormat="1" ht="31.2" x14ac:dyDescent="0.25">
      <c r="A113" s="198"/>
      <c r="B113" s="621" t="s">
        <v>653</v>
      </c>
      <c r="C113" s="213"/>
      <c r="D113" s="649"/>
      <c r="E113" s="666" t="s">
        <v>654</v>
      </c>
      <c r="F113" s="622">
        <f>F114</f>
        <v>84740</v>
      </c>
      <c r="G113" s="622">
        <f t="shared" ref="G113:R113" si="19">G114</f>
        <v>84740</v>
      </c>
      <c r="H113" s="218">
        <f t="shared" si="19"/>
        <v>0</v>
      </c>
      <c r="I113" s="218">
        <f t="shared" si="19"/>
        <v>0</v>
      </c>
      <c r="J113" s="218">
        <f t="shared" si="19"/>
        <v>0</v>
      </c>
      <c r="K113" s="217">
        <f>N113+L113</f>
        <v>0</v>
      </c>
      <c r="L113" s="218">
        <f t="shared" si="19"/>
        <v>0</v>
      </c>
      <c r="M113" s="218">
        <f t="shared" si="19"/>
        <v>0</v>
      </c>
      <c r="N113" s="218">
        <f t="shared" si="19"/>
        <v>0</v>
      </c>
      <c r="O113" s="218">
        <f t="shared" si="19"/>
        <v>0</v>
      </c>
      <c r="P113" s="218">
        <f t="shared" si="19"/>
        <v>0</v>
      </c>
      <c r="Q113" s="218">
        <f t="shared" si="19"/>
        <v>0</v>
      </c>
      <c r="R113" s="675">
        <f t="shared" si="19"/>
        <v>84740</v>
      </c>
    </row>
    <row r="114" spans="1:18" s="185" customFormat="1" ht="31.2" x14ac:dyDescent="0.25">
      <c r="A114" s="198"/>
      <c r="B114" s="621" t="s">
        <v>655</v>
      </c>
      <c r="C114" s="213"/>
      <c r="D114" s="649"/>
      <c r="E114" s="666" t="s">
        <v>654</v>
      </c>
      <c r="F114" s="622">
        <f>F116+F117+F119+F121+F124+F125+F127+F129+F130+F131+F132+F133+F134+F135</f>
        <v>84740</v>
      </c>
      <c r="G114" s="622">
        <f>G116+G117+G119+G121+G124+G125+G127+G129+G130+G131+G132+G133+G134+G135</f>
        <v>84740</v>
      </c>
      <c r="H114" s="218">
        <f t="shared" ref="H114:R114" si="20">H116+H117+H119+H121+H124+H125+H127+H129+H130+H131+H132+H133+H134+H135</f>
        <v>0</v>
      </c>
      <c r="I114" s="218">
        <f t="shared" si="20"/>
        <v>0</v>
      </c>
      <c r="J114" s="218">
        <f t="shared" si="20"/>
        <v>0</v>
      </c>
      <c r="K114" s="218">
        <f t="shared" si="20"/>
        <v>0</v>
      </c>
      <c r="L114" s="218">
        <f t="shared" si="20"/>
        <v>0</v>
      </c>
      <c r="M114" s="218">
        <f t="shared" si="20"/>
        <v>0</v>
      </c>
      <c r="N114" s="218">
        <f>N116+N117+N119+N121+N124+N125+N127+N129+N130+N131+N132+N133+N134+N135</f>
        <v>0</v>
      </c>
      <c r="O114" s="218">
        <f>O116+O117+O119+O121+O124+O125+O127+O129+O130+O131+O132+O133+O134+O135</f>
        <v>0</v>
      </c>
      <c r="P114" s="218">
        <f>P116+P117+P119+P121+P124+P125+P127+P129+P130+P131+P132+P133+P134+P135</f>
        <v>0</v>
      </c>
      <c r="Q114" s="218">
        <f t="shared" si="20"/>
        <v>0</v>
      </c>
      <c r="R114" s="675">
        <f t="shared" si="20"/>
        <v>84740</v>
      </c>
    </row>
    <row r="115" spans="1:18" s="185" customFormat="1" ht="31.2" hidden="1" x14ac:dyDescent="0.25">
      <c r="A115" s="198"/>
      <c r="B115" s="219"/>
      <c r="C115" s="489"/>
      <c r="D115" s="654"/>
      <c r="E115" s="665" t="s">
        <v>399</v>
      </c>
      <c r="F115" s="201">
        <f t="shared" ref="F115:F134" si="21">G115+J115</f>
        <v>0</v>
      </c>
      <c r="G115" s="218">
        <f>G121</f>
        <v>0</v>
      </c>
      <c r="H115" s="218">
        <f t="shared" ref="H115:R115" si="22">H118+H120</f>
        <v>0</v>
      </c>
      <c r="I115" s="218">
        <f t="shared" si="22"/>
        <v>0</v>
      </c>
      <c r="J115" s="218">
        <f t="shared" si="22"/>
        <v>0</v>
      </c>
      <c r="K115" s="217">
        <f t="shared" ref="K115:K134" si="23">N115+L115</f>
        <v>0</v>
      </c>
      <c r="L115" s="218">
        <f t="shared" si="22"/>
        <v>0</v>
      </c>
      <c r="M115" s="218">
        <f t="shared" si="22"/>
        <v>0</v>
      </c>
      <c r="N115" s="218">
        <f t="shared" si="22"/>
        <v>0</v>
      </c>
      <c r="O115" s="218">
        <f t="shared" si="22"/>
        <v>0</v>
      </c>
      <c r="P115" s="218">
        <f t="shared" si="22"/>
        <v>0</v>
      </c>
      <c r="Q115" s="218">
        <f t="shared" si="22"/>
        <v>0</v>
      </c>
      <c r="R115" s="676">
        <f t="shared" si="22"/>
        <v>0</v>
      </c>
    </row>
    <row r="116" spans="1:18" s="185" customFormat="1" ht="46.8" hidden="1" x14ac:dyDescent="0.25">
      <c r="A116" s="198"/>
      <c r="B116" s="230" t="s">
        <v>619</v>
      </c>
      <c r="C116" s="231" t="s">
        <v>437</v>
      </c>
      <c r="D116" s="652" t="s">
        <v>19</v>
      </c>
      <c r="E116" s="674" t="s">
        <v>438</v>
      </c>
      <c r="F116" s="201">
        <f t="shared" si="21"/>
        <v>0</v>
      </c>
      <c r="G116" s="220"/>
      <c r="H116" s="215"/>
      <c r="I116" s="203"/>
      <c r="J116" s="203"/>
      <c r="K116" s="217">
        <f t="shared" si="23"/>
        <v>0</v>
      </c>
      <c r="L116" s="207"/>
      <c r="M116" s="207"/>
      <c r="N116" s="207"/>
      <c r="O116" s="207"/>
      <c r="P116" s="207"/>
      <c r="Q116" s="207"/>
      <c r="R116" s="206">
        <f t="shared" ref="R116:R135" si="24">F116+K116</f>
        <v>0</v>
      </c>
    </row>
    <row r="117" spans="1:18" s="185" customFormat="1" ht="31.2" hidden="1" x14ac:dyDescent="0.25">
      <c r="A117" s="198"/>
      <c r="B117" s="219" t="s">
        <v>620</v>
      </c>
      <c r="C117" s="213" t="s">
        <v>391</v>
      </c>
      <c r="D117" s="649" t="s">
        <v>392</v>
      </c>
      <c r="E117" s="665" t="s">
        <v>393</v>
      </c>
      <c r="F117" s="619">
        <f t="shared" si="21"/>
        <v>0</v>
      </c>
      <c r="G117" s="620"/>
      <c r="H117" s="237"/>
      <c r="I117" s="203"/>
      <c r="J117" s="203"/>
      <c r="K117" s="217">
        <f t="shared" si="23"/>
        <v>0</v>
      </c>
      <c r="L117" s="203"/>
      <c r="M117" s="207"/>
      <c r="N117" s="207"/>
      <c r="O117" s="207"/>
      <c r="P117" s="207"/>
      <c r="Q117" s="203"/>
      <c r="R117" s="623">
        <f t="shared" si="24"/>
        <v>0</v>
      </c>
    </row>
    <row r="118" spans="1:18" s="185" customFormat="1" ht="31.2" hidden="1" x14ac:dyDescent="0.25">
      <c r="A118" s="198"/>
      <c r="B118" s="219"/>
      <c r="C118" s="213"/>
      <c r="D118" s="649"/>
      <c r="E118" s="665" t="s">
        <v>399</v>
      </c>
      <c r="F118" s="201">
        <f t="shared" si="21"/>
        <v>0</v>
      </c>
      <c r="G118" s="620"/>
      <c r="H118" s="237"/>
      <c r="I118" s="203"/>
      <c r="J118" s="203"/>
      <c r="K118" s="217">
        <f t="shared" si="23"/>
        <v>0</v>
      </c>
      <c r="L118" s="207"/>
      <c r="M118" s="207"/>
      <c r="N118" s="207"/>
      <c r="O118" s="207"/>
      <c r="P118" s="207"/>
      <c r="Q118" s="207"/>
      <c r="R118" s="206">
        <f t="shared" si="24"/>
        <v>0</v>
      </c>
    </row>
    <row r="119" spans="1:18" s="185" customFormat="1" ht="46.8" x14ac:dyDescent="0.25">
      <c r="A119" s="198"/>
      <c r="B119" s="219" t="s">
        <v>621</v>
      </c>
      <c r="C119" s="213" t="s">
        <v>394</v>
      </c>
      <c r="D119" s="649" t="s">
        <v>395</v>
      </c>
      <c r="E119" s="665" t="s">
        <v>396</v>
      </c>
      <c r="F119" s="201">
        <f t="shared" si="21"/>
        <v>80000</v>
      </c>
      <c r="G119" s="220">
        <v>80000</v>
      </c>
      <c r="H119" s="237"/>
      <c r="I119" s="203"/>
      <c r="J119" s="203"/>
      <c r="K119" s="217">
        <f t="shared" si="23"/>
        <v>0</v>
      </c>
      <c r="L119" s="207"/>
      <c r="M119" s="207"/>
      <c r="N119" s="207"/>
      <c r="O119" s="207"/>
      <c r="P119" s="207"/>
      <c r="Q119" s="207"/>
      <c r="R119" s="206">
        <f t="shared" si="24"/>
        <v>80000</v>
      </c>
    </row>
    <row r="120" spans="1:18" s="185" customFormat="1" ht="31.2" hidden="1" x14ac:dyDescent="0.25">
      <c r="A120" s="198"/>
      <c r="B120" s="219"/>
      <c r="C120" s="213"/>
      <c r="D120" s="649"/>
      <c r="E120" s="665" t="s">
        <v>399</v>
      </c>
      <c r="F120" s="201">
        <f>G120+J120</f>
        <v>0</v>
      </c>
      <c r="G120" s="220"/>
      <c r="H120" s="237"/>
      <c r="I120" s="203"/>
      <c r="J120" s="203"/>
      <c r="K120" s="217">
        <f t="shared" si="23"/>
        <v>0</v>
      </c>
      <c r="L120" s="207"/>
      <c r="M120" s="207"/>
      <c r="N120" s="207"/>
      <c r="O120" s="207"/>
      <c r="P120" s="207"/>
      <c r="Q120" s="207"/>
      <c r="R120" s="206">
        <f t="shared" si="24"/>
        <v>0</v>
      </c>
    </row>
    <row r="121" spans="1:18" s="185" customFormat="1" ht="31.2" hidden="1" x14ac:dyDescent="0.25">
      <c r="A121" s="198"/>
      <c r="B121" s="216" t="s">
        <v>700</v>
      </c>
      <c r="C121" s="213" t="s">
        <v>401</v>
      </c>
      <c r="D121" s="649" t="s">
        <v>402</v>
      </c>
      <c r="E121" s="663" t="s">
        <v>403</v>
      </c>
      <c r="F121" s="201">
        <f t="shared" si="21"/>
        <v>0</v>
      </c>
      <c r="G121" s="220"/>
      <c r="H121" s="237"/>
      <c r="I121" s="203"/>
      <c r="J121" s="203"/>
      <c r="K121" s="217">
        <f t="shared" si="23"/>
        <v>0</v>
      </c>
      <c r="L121" s="207"/>
      <c r="M121" s="207"/>
      <c r="N121" s="207"/>
      <c r="O121" s="207"/>
      <c r="P121" s="207"/>
      <c r="Q121" s="207"/>
      <c r="R121" s="206">
        <f t="shared" si="24"/>
        <v>0</v>
      </c>
    </row>
    <row r="122" spans="1:18" s="185" customFormat="1" ht="15.6" hidden="1" x14ac:dyDescent="0.25">
      <c r="A122" s="198"/>
      <c r="B122" s="216"/>
      <c r="C122" s="213"/>
      <c r="D122" s="649"/>
      <c r="E122" s="664" t="s">
        <v>359</v>
      </c>
      <c r="F122" s="201">
        <f t="shared" si="21"/>
        <v>0</v>
      </c>
      <c r="G122" s="220"/>
      <c r="H122" s="237"/>
      <c r="I122" s="203"/>
      <c r="J122" s="203"/>
      <c r="K122" s="217">
        <f t="shared" si="23"/>
        <v>0</v>
      </c>
      <c r="L122" s="207"/>
      <c r="M122" s="207"/>
      <c r="N122" s="207"/>
      <c r="O122" s="207"/>
      <c r="P122" s="207"/>
      <c r="Q122" s="207"/>
      <c r="R122" s="206">
        <f t="shared" si="24"/>
        <v>0</v>
      </c>
    </row>
    <row r="123" spans="1:18" s="185" customFormat="1" ht="62.4" hidden="1" x14ac:dyDescent="0.25">
      <c r="A123" s="198"/>
      <c r="B123" s="216"/>
      <c r="C123" s="213"/>
      <c r="D123" s="649"/>
      <c r="E123" s="663" t="s">
        <v>404</v>
      </c>
      <c r="F123" s="201">
        <f t="shared" si="21"/>
        <v>0</v>
      </c>
      <c r="G123" s="220"/>
      <c r="H123" s="237"/>
      <c r="I123" s="203"/>
      <c r="J123" s="203"/>
      <c r="K123" s="217">
        <f t="shared" si="23"/>
        <v>0</v>
      </c>
      <c r="L123" s="207"/>
      <c r="M123" s="207"/>
      <c r="N123" s="207"/>
      <c r="O123" s="207"/>
      <c r="P123" s="207"/>
      <c r="Q123" s="207"/>
      <c r="R123" s="206">
        <f t="shared" si="24"/>
        <v>0</v>
      </c>
    </row>
    <row r="124" spans="1:18" s="185" customFormat="1" ht="31.2" hidden="1" x14ac:dyDescent="0.25">
      <c r="A124" s="198"/>
      <c r="B124" s="216" t="s">
        <v>705</v>
      </c>
      <c r="C124" s="213" t="s">
        <v>28</v>
      </c>
      <c r="D124" s="649" t="s">
        <v>29</v>
      </c>
      <c r="E124" s="663" t="s">
        <v>406</v>
      </c>
      <c r="F124" s="214">
        <f t="shared" si="21"/>
        <v>0</v>
      </c>
      <c r="G124" s="215"/>
      <c r="H124" s="215"/>
      <c r="I124" s="203"/>
      <c r="J124" s="203"/>
      <c r="K124" s="217">
        <f t="shared" si="23"/>
        <v>0</v>
      </c>
      <c r="L124" s="207"/>
      <c r="M124" s="207"/>
      <c r="N124" s="207"/>
      <c r="O124" s="207"/>
      <c r="P124" s="207"/>
      <c r="Q124" s="207"/>
      <c r="R124" s="206">
        <f t="shared" si="24"/>
        <v>0</v>
      </c>
    </row>
    <row r="125" spans="1:18" s="185" customFormat="1" ht="62.4" x14ac:dyDescent="0.25">
      <c r="A125" s="198"/>
      <c r="B125" s="216" t="s">
        <v>703</v>
      </c>
      <c r="C125" s="213" t="s">
        <v>34</v>
      </c>
      <c r="D125" s="649" t="s">
        <v>35</v>
      </c>
      <c r="E125" s="665" t="s">
        <v>407</v>
      </c>
      <c r="F125" s="214">
        <f t="shared" si="21"/>
        <v>5700</v>
      </c>
      <c r="G125" s="215">
        <v>5700</v>
      </c>
      <c r="H125" s="215"/>
      <c r="I125" s="203"/>
      <c r="J125" s="203"/>
      <c r="K125" s="217">
        <f t="shared" si="23"/>
        <v>0</v>
      </c>
      <c r="L125" s="207"/>
      <c r="M125" s="207"/>
      <c r="N125" s="207"/>
      <c r="O125" s="207"/>
      <c r="P125" s="207"/>
      <c r="Q125" s="207"/>
      <c r="R125" s="206">
        <f t="shared" si="24"/>
        <v>5700</v>
      </c>
    </row>
    <row r="126" spans="1:18" s="185" customFormat="1" ht="15.6" hidden="1" x14ac:dyDescent="0.25">
      <c r="A126" s="198"/>
      <c r="B126" s="216"/>
      <c r="C126" s="213"/>
      <c r="D126" s="649"/>
      <c r="E126" s="666"/>
      <c r="F126" s="214"/>
      <c r="G126" s="218"/>
      <c r="H126" s="237"/>
      <c r="I126" s="203"/>
      <c r="J126" s="203"/>
      <c r="K126" s="217">
        <f t="shared" si="23"/>
        <v>0</v>
      </c>
      <c r="L126" s="207"/>
      <c r="M126" s="207"/>
      <c r="N126" s="207"/>
      <c r="O126" s="207"/>
      <c r="P126" s="207"/>
      <c r="Q126" s="207"/>
      <c r="R126" s="206">
        <f t="shared" si="24"/>
        <v>0</v>
      </c>
    </row>
    <row r="127" spans="1:18" s="185" customFormat="1" ht="31.2" hidden="1" x14ac:dyDescent="0.25">
      <c r="A127" s="198"/>
      <c r="B127" s="216" t="s">
        <v>704</v>
      </c>
      <c r="C127" s="213" t="s">
        <v>409</v>
      </c>
      <c r="D127" s="649" t="s">
        <v>39</v>
      </c>
      <c r="E127" s="665" t="s">
        <v>410</v>
      </c>
      <c r="F127" s="214">
        <f t="shared" si="21"/>
        <v>0</v>
      </c>
      <c r="G127" s="617"/>
      <c r="H127" s="203"/>
      <c r="I127" s="203"/>
      <c r="J127" s="203"/>
      <c r="K127" s="217">
        <f t="shared" si="23"/>
        <v>0</v>
      </c>
      <c r="L127" s="207"/>
      <c r="M127" s="207"/>
      <c r="N127" s="207"/>
      <c r="O127" s="207"/>
      <c r="P127" s="207"/>
      <c r="Q127" s="207"/>
      <c r="R127" s="206">
        <f t="shared" si="24"/>
        <v>0</v>
      </c>
    </row>
    <row r="128" spans="1:18" s="185" customFormat="1" ht="15.6" hidden="1" x14ac:dyDescent="0.25">
      <c r="A128" s="198"/>
      <c r="B128" s="216" t="s">
        <v>714</v>
      </c>
      <c r="C128" s="213" t="s">
        <v>42</v>
      </c>
      <c r="D128" s="649" t="s">
        <v>39</v>
      </c>
      <c r="E128" s="665" t="s">
        <v>43</v>
      </c>
      <c r="F128" s="214">
        <f t="shared" si="21"/>
        <v>0</v>
      </c>
      <c r="G128" s="215"/>
      <c r="H128" s="237"/>
      <c r="I128" s="203"/>
      <c r="J128" s="203"/>
      <c r="K128" s="217">
        <f t="shared" si="23"/>
        <v>0</v>
      </c>
      <c r="L128" s="207"/>
      <c r="M128" s="207"/>
      <c r="N128" s="207"/>
      <c r="O128" s="207"/>
      <c r="P128" s="207"/>
      <c r="Q128" s="207"/>
      <c r="R128" s="206">
        <f t="shared" si="24"/>
        <v>0</v>
      </c>
    </row>
    <row r="129" spans="1:19" s="185" customFormat="1" ht="62.4" x14ac:dyDescent="0.25">
      <c r="A129" s="198"/>
      <c r="B129" s="216" t="s">
        <v>706</v>
      </c>
      <c r="C129" s="213" t="s">
        <v>47</v>
      </c>
      <c r="D129" s="649" t="s">
        <v>39</v>
      </c>
      <c r="E129" s="665" t="s">
        <v>48</v>
      </c>
      <c r="F129" s="214">
        <f t="shared" si="21"/>
        <v>-960</v>
      </c>
      <c r="G129" s="215">
        <v>-960</v>
      </c>
      <c r="H129" s="237"/>
      <c r="I129" s="203"/>
      <c r="J129" s="203"/>
      <c r="K129" s="217">
        <f t="shared" si="23"/>
        <v>0</v>
      </c>
      <c r="L129" s="207"/>
      <c r="M129" s="207"/>
      <c r="N129" s="207"/>
      <c r="O129" s="207"/>
      <c r="P129" s="207"/>
      <c r="Q129" s="207"/>
      <c r="R129" s="206">
        <f t="shared" si="24"/>
        <v>-960</v>
      </c>
    </row>
    <row r="130" spans="1:19" s="185" customFormat="1" ht="78" hidden="1" x14ac:dyDescent="0.25">
      <c r="A130" s="198"/>
      <c r="B130" s="216" t="s">
        <v>707</v>
      </c>
      <c r="C130" s="213">
        <v>3160</v>
      </c>
      <c r="D130" s="649" t="s">
        <v>53</v>
      </c>
      <c r="E130" s="663" t="s">
        <v>54</v>
      </c>
      <c r="F130" s="214">
        <f t="shared" si="21"/>
        <v>0</v>
      </c>
      <c r="G130" s="215"/>
      <c r="H130" s="237"/>
      <c r="I130" s="203"/>
      <c r="J130" s="203"/>
      <c r="K130" s="217">
        <f t="shared" si="23"/>
        <v>0</v>
      </c>
      <c r="L130" s="207"/>
      <c r="M130" s="207"/>
      <c r="N130" s="207"/>
      <c r="O130" s="207"/>
      <c r="P130" s="207"/>
      <c r="Q130" s="207"/>
      <c r="R130" s="206">
        <f t="shared" si="24"/>
        <v>0</v>
      </c>
    </row>
    <row r="131" spans="1:19" s="185" customFormat="1" ht="31.2" hidden="1" x14ac:dyDescent="0.25">
      <c r="A131" s="198"/>
      <c r="B131" s="219" t="s">
        <v>708</v>
      </c>
      <c r="C131" s="213" t="s">
        <v>56</v>
      </c>
      <c r="D131" s="649" t="s">
        <v>57</v>
      </c>
      <c r="E131" s="665" t="s">
        <v>58</v>
      </c>
      <c r="F131" s="214">
        <f t="shared" si="21"/>
        <v>0</v>
      </c>
      <c r="G131" s="220"/>
      <c r="H131" s="237"/>
      <c r="I131" s="203"/>
      <c r="J131" s="203"/>
      <c r="K131" s="217">
        <f t="shared" si="23"/>
        <v>0</v>
      </c>
      <c r="L131" s="207"/>
      <c r="M131" s="207"/>
      <c r="N131" s="207"/>
      <c r="O131" s="207"/>
      <c r="P131" s="207"/>
      <c r="Q131" s="207"/>
      <c r="R131" s="206">
        <f t="shared" si="24"/>
        <v>0</v>
      </c>
    </row>
    <row r="132" spans="1:19" s="185" customFormat="1" ht="46.8" hidden="1" x14ac:dyDescent="0.25">
      <c r="A132" s="198"/>
      <c r="B132" s="221" t="s">
        <v>698</v>
      </c>
      <c r="C132" s="208">
        <v>3192</v>
      </c>
      <c r="D132" s="647">
        <v>1030</v>
      </c>
      <c r="E132" s="462" t="s">
        <v>412</v>
      </c>
      <c r="F132" s="201">
        <f t="shared" si="21"/>
        <v>0</v>
      </c>
      <c r="G132" s="203"/>
      <c r="H132" s="237"/>
      <c r="I132" s="203"/>
      <c r="J132" s="203"/>
      <c r="K132" s="217">
        <f t="shared" si="23"/>
        <v>0</v>
      </c>
      <c r="L132" s="207"/>
      <c r="M132" s="207"/>
      <c r="N132" s="207"/>
      <c r="O132" s="207"/>
      <c r="P132" s="207"/>
      <c r="Q132" s="207"/>
      <c r="R132" s="206">
        <f t="shared" si="24"/>
        <v>0</v>
      </c>
    </row>
    <row r="133" spans="1:19" s="185" customFormat="1" ht="15.6" hidden="1" x14ac:dyDescent="0.25">
      <c r="A133" s="198"/>
      <c r="B133" s="221" t="s">
        <v>709</v>
      </c>
      <c r="C133" s="208" t="s">
        <v>60</v>
      </c>
      <c r="D133" s="647" t="s">
        <v>61</v>
      </c>
      <c r="E133" s="462" t="s">
        <v>62</v>
      </c>
      <c r="F133" s="201">
        <f t="shared" si="21"/>
        <v>0</v>
      </c>
      <c r="G133" s="203"/>
      <c r="H133" s="215"/>
      <c r="I133" s="203"/>
      <c r="J133" s="203"/>
      <c r="K133" s="217">
        <f t="shared" si="23"/>
        <v>0</v>
      </c>
      <c r="L133" s="207"/>
      <c r="M133" s="207"/>
      <c r="N133" s="207"/>
      <c r="O133" s="207"/>
      <c r="P133" s="207"/>
      <c r="Q133" s="207"/>
      <c r="R133" s="206">
        <f t="shared" si="24"/>
        <v>0</v>
      </c>
    </row>
    <row r="134" spans="1:19" s="185" customFormat="1" ht="31.2" hidden="1" x14ac:dyDescent="0.25">
      <c r="A134" s="198"/>
      <c r="B134" s="221" t="s">
        <v>710</v>
      </c>
      <c r="C134" s="208" t="s">
        <v>64</v>
      </c>
      <c r="D134" s="647" t="s">
        <v>65</v>
      </c>
      <c r="E134" s="462" t="s">
        <v>66</v>
      </c>
      <c r="F134" s="201">
        <f t="shared" si="21"/>
        <v>0</v>
      </c>
      <c r="G134" s="203"/>
      <c r="H134" s="237"/>
      <c r="I134" s="203"/>
      <c r="J134" s="203"/>
      <c r="K134" s="217">
        <f t="shared" si="23"/>
        <v>0</v>
      </c>
      <c r="L134" s="207"/>
      <c r="M134" s="207"/>
      <c r="N134" s="207"/>
      <c r="O134" s="207"/>
      <c r="P134" s="207"/>
      <c r="Q134" s="207"/>
      <c r="R134" s="206">
        <f t="shared" si="24"/>
        <v>0</v>
      </c>
    </row>
    <row r="135" spans="1:19" s="185" customFormat="1" ht="15.6" hidden="1" x14ac:dyDescent="0.25">
      <c r="A135" s="198"/>
      <c r="B135" s="219"/>
      <c r="C135" s="213"/>
      <c r="D135" s="649"/>
      <c r="E135" s="665"/>
      <c r="F135" s="201">
        <f>G135+J135</f>
        <v>0</v>
      </c>
      <c r="G135" s="220"/>
      <c r="H135" s="237"/>
      <c r="I135" s="203"/>
      <c r="J135" s="203"/>
      <c r="K135" s="217"/>
      <c r="L135" s="207"/>
      <c r="M135" s="207"/>
      <c r="N135" s="207"/>
      <c r="O135" s="207"/>
      <c r="P135" s="207"/>
      <c r="Q135" s="207"/>
      <c r="R135" s="206">
        <f t="shared" si="24"/>
        <v>0</v>
      </c>
    </row>
    <row r="136" spans="1:19" s="185" customFormat="1" ht="31.2" x14ac:dyDescent="0.25">
      <c r="A136" s="198"/>
      <c r="B136" s="199" t="s">
        <v>161</v>
      </c>
      <c r="C136" s="208"/>
      <c r="D136" s="647"/>
      <c r="E136" s="660" t="s">
        <v>458</v>
      </c>
      <c r="F136" s="201">
        <f>F137</f>
        <v>278920</v>
      </c>
      <c r="G136" s="201">
        <f t="shared" ref="G136:R136" si="25">G137</f>
        <v>278920</v>
      </c>
      <c r="H136" s="201">
        <f t="shared" si="25"/>
        <v>40300</v>
      </c>
      <c r="I136" s="201">
        <f t="shared" si="25"/>
        <v>173291</v>
      </c>
      <c r="J136" s="201">
        <f t="shared" si="25"/>
        <v>0</v>
      </c>
      <c r="K136" s="201">
        <f t="shared" si="25"/>
        <v>0</v>
      </c>
      <c r="L136" s="201">
        <f t="shared" si="25"/>
        <v>0</v>
      </c>
      <c r="M136" s="201">
        <f t="shared" si="25"/>
        <v>0</v>
      </c>
      <c r="N136" s="201">
        <f t="shared" si="25"/>
        <v>0</v>
      </c>
      <c r="O136" s="201">
        <f t="shared" si="25"/>
        <v>0</v>
      </c>
      <c r="P136" s="201">
        <f t="shared" si="25"/>
        <v>0</v>
      </c>
      <c r="Q136" s="201">
        <f t="shared" si="25"/>
        <v>0</v>
      </c>
      <c r="R136" s="206">
        <f t="shared" si="25"/>
        <v>278920</v>
      </c>
    </row>
    <row r="137" spans="1:19" s="185" customFormat="1" ht="31.2" x14ac:dyDescent="0.25">
      <c r="A137" s="198"/>
      <c r="B137" s="199" t="s">
        <v>460</v>
      </c>
      <c r="C137" s="200" t="s">
        <v>439</v>
      </c>
      <c r="D137" s="647"/>
      <c r="E137" s="660" t="s">
        <v>458</v>
      </c>
      <c r="F137" s="201">
        <f>F138+F141+F142+F143+F144+F145+F146+F147+F148</f>
        <v>278920</v>
      </c>
      <c r="G137" s="201">
        <f>G138+G141+G142+G143+G144+G145+G146+G147+G148</f>
        <v>278920</v>
      </c>
      <c r="H137" s="201">
        <f t="shared" ref="H137:R137" si="26">H138+H141+H142+H143+H144+H145+H146+H147+H148</f>
        <v>40300</v>
      </c>
      <c r="I137" s="201">
        <f t="shared" si="26"/>
        <v>173291</v>
      </c>
      <c r="J137" s="201">
        <f t="shared" si="26"/>
        <v>0</v>
      </c>
      <c r="K137" s="201">
        <f t="shared" si="26"/>
        <v>0</v>
      </c>
      <c r="L137" s="201">
        <f t="shared" si="26"/>
        <v>0</v>
      </c>
      <c r="M137" s="201">
        <f t="shared" si="26"/>
        <v>0</v>
      </c>
      <c r="N137" s="201">
        <f t="shared" si="26"/>
        <v>0</v>
      </c>
      <c r="O137" s="201">
        <f t="shared" si="26"/>
        <v>0</v>
      </c>
      <c r="P137" s="201">
        <f t="shared" si="26"/>
        <v>0</v>
      </c>
      <c r="Q137" s="201">
        <f t="shared" si="26"/>
        <v>0</v>
      </c>
      <c r="R137" s="206">
        <f t="shared" si="26"/>
        <v>278920</v>
      </c>
    </row>
    <row r="138" spans="1:19" s="185" customFormat="1" ht="46.8" hidden="1" x14ac:dyDescent="0.25">
      <c r="A138" s="198"/>
      <c r="B138" s="230" t="s">
        <v>459</v>
      </c>
      <c r="C138" s="231" t="s">
        <v>437</v>
      </c>
      <c r="D138" s="652" t="s">
        <v>19</v>
      </c>
      <c r="E138" s="674" t="s">
        <v>438</v>
      </c>
      <c r="F138" s="201">
        <f>G138+J138</f>
        <v>0</v>
      </c>
      <c r="G138" s="207"/>
      <c r="H138" s="217"/>
      <c r="I138" s="217"/>
      <c r="J138" s="217"/>
      <c r="K138" s="217"/>
      <c r="L138" s="217"/>
      <c r="M138" s="217"/>
      <c r="N138" s="217"/>
      <c r="O138" s="217"/>
      <c r="P138" s="217"/>
      <c r="Q138" s="217"/>
      <c r="R138" s="206">
        <f>F138+K138</f>
        <v>0</v>
      </c>
    </row>
    <row r="139" spans="1:19" s="185" customFormat="1" ht="15.6" hidden="1" x14ac:dyDescent="0.25">
      <c r="A139" s="198"/>
      <c r="B139" s="199"/>
      <c r="C139" s="200"/>
      <c r="D139" s="647"/>
      <c r="E139" s="660"/>
      <c r="F139" s="217"/>
      <c r="G139" s="217"/>
      <c r="H139" s="217"/>
      <c r="I139" s="217"/>
      <c r="J139" s="217"/>
      <c r="K139" s="217">
        <f t="shared" ref="K139:Q139" si="27">K144+K145+K141+K146+K142+K147+K148+K143+K140</f>
        <v>0</v>
      </c>
      <c r="L139" s="217">
        <f t="shared" si="27"/>
        <v>0</v>
      </c>
      <c r="M139" s="217">
        <f t="shared" si="27"/>
        <v>0</v>
      </c>
      <c r="N139" s="217">
        <f t="shared" si="27"/>
        <v>0</v>
      </c>
      <c r="O139" s="217">
        <f t="shared" si="27"/>
        <v>0</v>
      </c>
      <c r="P139" s="217">
        <f t="shared" si="27"/>
        <v>0</v>
      </c>
      <c r="Q139" s="217">
        <f t="shared" si="27"/>
        <v>0</v>
      </c>
      <c r="R139" s="677"/>
      <c r="S139" s="232"/>
    </row>
    <row r="140" spans="1:19" s="185" customFormat="1" ht="15.6" hidden="1" x14ac:dyDescent="0.25">
      <c r="A140" s="198"/>
      <c r="B140" s="230"/>
      <c r="C140" s="231"/>
      <c r="D140" s="652"/>
      <c r="E140" s="674"/>
      <c r="F140" s="201"/>
      <c r="G140" s="217"/>
      <c r="H140" s="217"/>
      <c r="I140" s="217"/>
      <c r="J140" s="217"/>
      <c r="K140" s="217"/>
      <c r="L140" s="217"/>
      <c r="M140" s="217"/>
      <c r="N140" s="217"/>
      <c r="O140" s="217"/>
      <c r="P140" s="217"/>
      <c r="Q140" s="217"/>
      <c r="R140" s="206"/>
      <c r="S140" s="232"/>
    </row>
    <row r="141" spans="1:19" s="185" customFormat="1" ht="15.6" x14ac:dyDescent="0.25">
      <c r="A141" s="198"/>
      <c r="B141" s="221" t="s">
        <v>163</v>
      </c>
      <c r="C141" s="225" t="s">
        <v>164</v>
      </c>
      <c r="D141" s="650" t="s">
        <v>151</v>
      </c>
      <c r="E141" s="462" t="s">
        <v>461</v>
      </c>
      <c r="F141" s="201">
        <f t="shared" ref="F141:F148" si="28">G141+J141</f>
        <v>278920</v>
      </c>
      <c r="G141" s="203">
        <v>278920</v>
      </c>
      <c r="H141" s="203">
        <v>40300</v>
      </c>
      <c r="I141" s="203">
        <f>13000+160291</f>
        <v>173291</v>
      </c>
      <c r="J141" s="203"/>
      <c r="K141" s="217">
        <f t="shared" ref="K141:K154" si="29">N141+L141</f>
        <v>0</v>
      </c>
      <c r="L141" s="207"/>
      <c r="M141" s="207"/>
      <c r="N141" s="207"/>
      <c r="O141" s="207"/>
      <c r="P141" s="207"/>
      <c r="Q141" s="207"/>
      <c r="R141" s="206">
        <f t="shared" ref="R141:R157" si="30">F141+K141</f>
        <v>278920</v>
      </c>
    </row>
    <row r="142" spans="1:19" s="185" customFormat="1" ht="15.6" hidden="1" x14ac:dyDescent="0.25">
      <c r="A142" s="198"/>
      <c r="B142" s="221" t="s">
        <v>462</v>
      </c>
      <c r="C142" s="225" t="s">
        <v>463</v>
      </c>
      <c r="D142" s="650" t="s">
        <v>464</v>
      </c>
      <c r="E142" s="462" t="s">
        <v>465</v>
      </c>
      <c r="F142" s="201">
        <f t="shared" si="28"/>
        <v>0</v>
      </c>
      <c r="G142" s="203"/>
      <c r="H142" s="203"/>
      <c r="I142" s="203"/>
      <c r="J142" s="201"/>
      <c r="K142" s="204">
        <f t="shared" si="29"/>
        <v>0</v>
      </c>
      <c r="L142" s="209"/>
      <c r="M142" s="209"/>
      <c r="N142" s="204"/>
      <c r="O142" s="204"/>
      <c r="P142" s="209">
        <f>O142</f>
        <v>0</v>
      </c>
      <c r="Q142" s="209"/>
      <c r="R142" s="206">
        <f t="shared" si="30"/>
        <v>0</v>
      </c>
    </row>
    <row r="143" spans="1:19" s="185" customFormat="1" ht="25.5" hidden="1" customHeight="1" x14ac:dyDescent="0.25">
      <c r="A143" s="198"/>
      <c r="B143" s="221" t="s">
        <v>466</v>
      </c>
      <c r="C143" s="225" t="s">
        <v>467</v>
      </c>
      <c r="D143" s="650" t="s">
        <v>464</v>
      </c>
      <c r="E143" s="462" t="s">
        <v>468</v>
      </c>
      <c r="F143" s="201">
        <f t="shared" si="28"/>
        <v>0</v>
      </c>
      <c r="G143" s="203"/>
      <c r="H143" s="203"/>
      <c r="I143" s="203"/>
      <c r="J143" s="201"/>
      <c r="K143" s="217">
        <f t="shared" si="29"/>
        <v>0</v>
      </c>
      <c r="L143" s="207"/>
      <c r="M143" s="207"/>
      <c r="N143" s="217"/>
      <c r="O143" s="204"/>
      <c r="P143" s="209"/>
      <c r="Q143" s="209"/>
      <c r="R143" s="206">
        <f t="shared" si="30"/>
        <v>0</v>
      </c>
    </row>
    <row r="144" spans="1:19" s="185" customFormat="1" ht="46.8" hidden="1" x14ac:dyDescent="0.25">
      <c r="A144" s="198"/>
      <c r="B144" s="221" t="s">
        <v>469</v>
      </c>
      <c r="C144" s="225" t="s">
        <v>470</v>
      </c>
      <c r="D144" s="650" t="s">
        <v>471</v>
      </c>
      <c r="E144" s="462" t="s">
        <v>472</v>
      </c>
      <c r="F144" s="201">
        <f t="shared" si="28"/>
        <v>0</v>
      </c>
      <c r="G144" s="203"/>
      <c r="H144" s="203"/>
      <c r="I144" s="203"/>
      <c r="J144" s="203"/>
      <c r="K144" s="217">
        <f t="shared" si="29"/>
        <v>0</v>
      </c>
      <c r="L144" s="207"/>
      <c r="M144" s="207"/>
      <c r="N144" s="207"/>
      <c r="O144" s="209"/>
      <c r="P144" s="209"/>
      <c r="Q144" s="209"/>
      <c r="R144" s="206">
        <f t="shared" si="30"/>
        <v>0</v>
      </c>
    </row>
    <row r="145" spans="1:19" s="185" customFormat="1" ht="31.2" hidden="1" x14ac:dyDescent="0.25">
      <c r="A145" s="198"/>
      <c r="B145" s="221" t="s">
        <v>473</v>
      </c>
      <c r="C145" s="225" t="s">
        <v>474</v>
      </c>
      <c r="D145" s="650" t="s">
        <v>168</v>
      </c>
      <c r="E145" s="462" t="s">
        <v>475</v>
      </c>
      <c r="F145" s="201">
        <f t="shared" si="28"/>
        <v>0</v>
      </c>
      <c r="G145" s="203"/>
      <c r="H145" s="203"/>
      <c r="I145" s="203"/>
      <c r="J145" s="203"/>
      <c r="K145" s="217">
        <f t="shared" si="29"/>
        <v>0</v>
      </c>
      <c r="L145" s="209"/>
      <c r="M145" s="209"/>
      <c r="N145" s="209"/>
      <c r="O145" s="209"/>
      <c r="P145" s="209">
        <f>O145</f>
        <v>0</v>
      </c>
      <c r="Q145" s="209">
        <f>O145</f>
        <v>0</v>
      </c>
      <c r="R145" s="206">
        <f t="shared" si="30"/>
        <v>0</v>
      </c>
    </row>
    <row r="146" spans="1:19" s="185" customFormat="1" ht="15.6" hidden="1" x14ac:dyDescent="0.25">
      <c r="A146" s="198"/>
      <c r="B146" s="221" t="s">
        <v>166</v>
      </c>
      <c r="C146" s="225" t="s">
        <v>167</v>
      </c>
      <c r="D146" s="650" t="s">
        <v>168</v>
      </c>
      <c r="E146" s="462" t="s">
        <v>169</v>
      </c>
      <c r="F146" s="201">
        <f t="shared" si="28"/>
        <v>0</v>
      </c>
      <c r="G146" s="203"/>
      <c r="H146" s="203"/>
      <c r="I146" s="203"/>
      <c r="J146" s="201"/>
      <c r="K146" s="217">
        <f t="shared" si="29"/>
        <v>0</v>
      </c>
      <c r="L146" s="204"/>
      <c r="M146" s="204"/>
      <c r="N146" s="204"/>
      <c r="O146" s="204"/>
      <c r="P146" s="204"/>
      <c r="Q146" s="204"/>
      <c r="R146" s="206">
        <f t="shared" si="30"/>
        <v>0</v>
      </c>
    </row>
    <row r="147" spans="1:19" s="185" customFormat="1" ht="31.2" hidden="1" x14ac:dyDescent="0.25">
      <c r="A147" s="198"/>
      <c r="B147" s="221" t="s">
        <v>170</v>
      </c>
      <c r="C147" s="225" t="s">
        <v>171</v>
      </c>
      <c r="D147" s="650" t="s">
        <v>172</v>
      </c>
      <c r="E147" s="462" t="s">
        <v>476</v>
      </c>
      <c r="F147" s="201">
        <f t="shared" si="28"/>
        <v>0</v>
      </c>
      <c r="G147" s="203"/>
      <c r="H147" s="203"/>
      <c r="I147" s="203"/>
      <c r="J147" s="203"/>
      <c r="K147" s="217">
        <f t="shared" si="29"/>
        <v>0</v>
      </c>
      <c r="L147" s="209"/>
      <c r="M147" s="209"/>
      <c r="N147" s="209"/>
      <c r="O147" s="209"/>
      <c r="P147" s="209"/>
      <c r="Q147" s="209"/>
      <c r="R147" s="206">
        <f t="shared" si="30"/>
        <v>0</v>
      </c>
    </row>
    <row r="148" spans="1:19" s="185" customFormat="1" ht="31.2" hidden="1" x14ac:dyDescent="0.25">
      <c r="A148" s="198"/>
      <c r="B148" s="224" t="s">
        <v>176</v>
      </c>
      <c r="C148" s="231" t="s">
        <v>177</v>
      </c>
      <c r="D148" s="652" t="s">
        <v>178</v>
      </c>
      <c r="E148" s="674" t="s">
        <v>179</v>
      </c>
      <c r="F148" s="238">
        <f t="shared" si="28"/>
        <v>0</v>
      </c>
      <c r="G148" s="222"/>
      <c r="H148" s="222"/>
      <c r="I148" s="222"/>
      <c r="J148" s="222"/>
      <c r="K148" s="217">
        <f t="shared" si="29"/>
        <v>0</v>
      </c>
      <c r="L148" s="239"/>
      <c r="M148" s="239"/>
      <c r="N148" s="239"/>
      <c r="O148" s="239"/>
      <c r="P148" s="239"/>
      <c r="Q148" s="239"/>
      <c r="R148" s="206">
        <f t="shared" si="30"/>
        <v>0</v>
      </c>
    </row>
    <row r="149" spans="1:19" s="185" customFormat="1" ht="31.2" x14ac:dyDescent="0.25">
      <c r="A149" s="198"/>
      <c r="B149" s="240" t="s">
        <v>477</v>
      </c>
      <c r="C149" s="241"/>
      <c r="D149" s="655"/>
      <c r="E149" s="678" t="s">
        <v>478</v>
      </c>
      <c r="F149" s="238">
        <f>F150</f>
        <v>50000</v>
      </c>
      <c r="G149" s="238">
        <f t="shared" ref="G149:Q149" si="31">G150</f>
        <v>50000</v>
      </c>
      <c r="H149" s="238">
        <f t="shared" si="31"/>
        <v>0</v>
      </c>
      <c r="I149" s="238">
        <f t="shared" si="31"/>
        <v>0</v>
      </c>
      <c r="J149" s="238">
        <f t="shared" si="31"/>
        <v>0</v>
      </c>
      <c r="K149" s="238">
        <f t="shared" si="31"/>
        <v>0</v>
      </c>
      <c r="L149" s="238">
        <f t="shared" si="31"/>
        <v>0</v>
      </c>
      <c r="M149" s="238">
        <f t="shared" si="31"/>
        <v>0</v>
      </c>
      <c r="N149" s="238">
        <f t="shared" si="31"/>
        <v>0</v>
      </c>
      <c r="O149" s="238">
        <f t="shared" si="31"/>
        <v>0</v>
      </c>
      <c r="P149" s="238">
        <f t="shared" si="31"/>
        <v>0</v>
      </c>
      <c r="Q149" s="238">
        <f t="shared" si="31"/>
        <v>0</v>
      </c>
      <c r="R149" s="206">
        <f t="shared" si="30"/>
        <v>50000</v>
      </c>
    </row>
    <row r="150" spans="1:19" s="185" customFormat="1" ht="31.2" x14ac:dyDescent="0.25">
      <c r="A150" s="198"/>
      <c r="B150" s="240" t="s">
        <v>479</v>
      </c>
      <c r="C150" s="241"/>
      <c r="D150" s="655"/>
      <c r="E150" s="678" t="s">
        <v>478</v>
      </c>
      <c r="F150" s="238">
        <f>F151+F154+F152+F153</f>
        <v>50000</v>
      </c>
      <c r="G150" s="238">
        <f t="shared" ref="G150:R150" si="32">G151+G154+G152+G153</f>
        <v>50000</v>
      </c>
      <c r="H150" s="238">
        <f t="shared" si="32"/>
        <v>0</v>
      </c>
      <c r="I150" s="238">
        <f t="shared" si="32"/>
        <v>0</v>
      </c>
      <c r="J150" s="238">
        <f t="shared" si="32"/>
        <v>0</v>
      </c>
      <c r="K150" s="238">
        <f t="shared" si="32"/>
        <v>0</v>
      </c>
      <c r="L150" s="238">
        <f t="shared" si="32"/>
        <v>0</v>
      </c>
      <c r="M150" s="238">
        <f t="shared" si="32"/>
        <v>0</v>
      </c>
      <c r="N150" s="238">
        <f t="shared" si="32"/>
        <v>0</v>
      </c>
      <c r="O150" s="238">
        <f t="shared" si="32"/>
        <v>0</v>
      </c>
      <c r="P150" s="238">
        <f t="shared" si="32"/>
        <v>0</v>
      </c>
      <c r="Q150" s="238">
        <f t="shared" si="32"/>
        <v>0</v>
      </c>
      <c r="R150" s="238">
        <f t="shared" si="32"/>
        <v>50000</v>
      </c>
    </row>
    <row r="151" spans="1:19" s="185" customFormat="1" ht="46.8" hidden="1" x14ac:dyDescent="0.25">
      <c r="A151" s="198"/>
      <c r="B151" s="224" t="s">
        <v>480</v>
      </c>
      <c r="C151" s="231" t="s">
        <v>437</v>
      </c>
      <c r="D151" s="652" t="s">
        <v>19</v>
      </c>
      <c r="E151" s="674" t="s">
        <v>438</v>
      </c>
      <c r="F151" s="201">
        <f>G151+J151</f>
        <v>0</v>
      </c>
      <c r="G151" s="222"/>
      <c r="H151" s="222"/>
      <c r="I151" s="222"/>
      <c r="J151" s="222"/>
      <c r="K151" s="217">
        <f t="shared" si="29"/>
        <v>0</v>
      </c>
      <c r="L151" s="239"/>
      <c r="M151" s="239"/>
      <c r="N151" s="239"/>
      <c r="O151" s="239"/>
      <c r="P151" s="239"/>
      <c r="Q151" s="239"/>
      <c r="R151" s="206">
        <f t="shared" si="30"/>
        <v>0</v>
      </c>
    </row>
    <row r="152" spans="1:19" s="185" customFormat="1" ht="15.6" hidden="1" x14ac:dyDescent="0.25">
      <c r="A152" s="198"/>
      <c r="B152" s="221" t="s">
        <v>481</v>
      </c>
      <c r="C152" s="208" t="s">
        <v>482</v>
      </c>
      <c r="D152" s="647" t="s">
        <v>25</v>
      </c>
      <c r="E152" s="462" t="s">
        <v>483</v>
      </c>
      <c r="F152" s="201">
        <f>G152+J152</f>
        <v>0</v>
      </c>
      <c r="G152" s="222"/>
      <c r="H152" s="222"/>
      <c r="I152" s="222"/>
      <c r="J152" s="222"/>
      <c r="K152" s="242">
        <f t="shared" si="29"/>
        <v>0</v>
      </c>
      <c r="L152" s="239"/>
      <c r="M152" s="239"/>
      <c r="N152" s="239"/>
      <c r="O152" s="239"/>
      <c r="P152" s="239"/>
      <c r="Q152" s="239"/>
      <c r="R152" s="206">
        <f t="shared" si="30"/>
        <v>0</v>
      </c>
    </row>
    <row r="153" spans="1:19" s="185" customFormat="1" ht="15.6" hidden="1" x14ac:dyDescent="0.25">
      <c r="A153" s="198"/>
      <c r="B153" s="224" t="s">
        <v>728</v>
      </c>
      <c r="C153" s="231" t="s">
        <v>730</v>
      </c>
      <c r="D153" s="647" t="s">
        <v>24</v>
      </c>
      <c r="E153" s="679" t="s">
        <v>342</v>
      </c>
      <c r="F153" s="201">
        <f>G153+J153</f>
        <v>0</v>
      </c>
      <c r="G153" s="222"/>
      <c r="H153" s="222"/>
      <c r="I153" s="222"/>
      <c r="J153" s="222"/>
      <c r="K153" s="624">
        <f t="shared" si="29"/>
        <v>0</v>
      </c>
      <c r="L153" s="222"/>
      <c r="M153" s="239"/>
      <c r="N153" s="239"/>
      <c r="O153" s="239"/>
      <c r="P153" s="239"/>
      <c r="Q153" s="222"/>
      <c r="R153" s="206">
        <f t="shared" si="30"/>
        <v>0</v>
      </c>
    </row>
    <row r="154" spans="1:19" s="185" customFormat="1" ht="47.4" thickBot="1" x14ac:dyDescent="0.3">
      <c r="A154" s="198"/>
      <c r="B154" s="221" t="s">
        <v>727</v>
      </c>
      <c r="C154" s="208" t="s">
        <v>715</v>
      </c>
      <c r="D154" s="647" t="s">
        <v>24</v>
      </c>
      <c r="E154" s="671" t="s">
        <v>719</v>
      </c>
      <c r="F154" s="201">
        <f>G154+J154</f>
        <v>50000</v>
      </c>
      <c r="G154" s="222">
        <f>50000</f>
        <v>50000</v>
      </c>
      <c r="H154" s="222"/>
      <c r="I154" s="222"/>
      <c r="J154" s="222"/>
      <c r="K154" s="624">
        <f t="shared" si="29"/>
        <v>0</v>
      </c>
      <c r="L154" s="222"/>
      <c r="M154" s="239"/>
      <c r="N154" s="239"/>
      <c r="O154" s="239"/>
      <c r="P154" s="239"/>
      <c r="Q154" s="222"/>
      <c r="R154" s="206">
        <f t="shared" si="30"/>
        <v>50000</v>
      </c>
    </row>
    <row r="155" spans="1:19" s="185" customFormat="1" ht="33.75" customHeight="1" thickBot="1" x14ac:dyDescent="0.3">
      <c r="A155" s="198"/>
      <c r="B155" s="243" t="s">
        <v>484</v>
      </c>
      <c r="C155" s="244" t="s">
        <v>484</v>
      </c>
      <c r="D155" s="656" t="s">
        <v>484</v>
      </c>
      <c r="E155" s="680" t="s">
        <v>485</v>
      </c>
      <c r="F155" s="618">
        <f t="shared" ref="F155:R155" si="33">F12+F87+F136+F149+F113</f>
        <v>3792471.14</v>
      </c>
      <c r="G155" s="618">
        <f t="shared" si="33"/>
        <v>3792471.14</v>
      </c>
      <c r="H155" s="618">
        <f t="shared" si="33"/>
        <v>145284</v>
      </c>
      <c r="I155" s="245">
        <f t="shared" si="33"/>
        <v>223291</v>
      </c>
      <c r="J155" s="245">
        <f t="shared" si="33"/>
        <v>0</v>
      </c>
      <c r="K155" s="618">
        <f t="shared" si="33"/>
        <v>656361</v>
      </c>
      <c r="L155" s="618">
        <f t="shared" si="33"/>
        <v>656361</v>
      </c>
      <c r="M155" s="618">
        <f t="shared" si="33"/>
        <v>0</v>
      </c>
      <c r="N155" s="618">
        <f t="shared" si="33"/>
        <v>0</v>
      </c>
      <c r="O155" s="618">
        <f t="shared" si="33"/>
        <v>0</v>
      </c>
      <c r="P155" s="618">
        <f t="shared" si="33"/>
        <v>0</v>
      </c>
      <c r="Q155" s="618">
        <f t="shared" si="33"/>
        <v>656361</v>
      </c>
      <c r="R155" s="681">
        <f t="shared" si="33"/>
        <v>4448832.1400000006</v>
      </c>
      <c r="S155" s="232">
        <f>R88/R155*100</f>
        <v>19.18330728477429</v>
      </c>
    </row>
    <row r="156" spans="1:19" s="185" customFormat="1" ht="31.8" thickBot="1" x14ac:dyDescent="0.3">
      <c r="A156" s="198"/>
      <c r="B156" s="243" t="s">
        <v>484</v>
      </c>
      <c r="C156" s="244" t="s">
        <v>484</v>
      </c>
      <c r="D156" s="656" t="s">
        <v>484</v>
      </c>
      <c r="E156" s="680" t="s">
        <v>486</v>
      </c>
      <c r="F156" s="618">
        <f>F89+F15</f>
        <v>0</v>
      </c>
      <c r="G156" s="618">
        <f>G89+G15</f>
        <v>0</v>
      </c>
      <c r="H156" s="618">
        <f t="shared" ref="H156:Q156" si="34">H96</f>
        <v>0</v>
      </c>
      <c r="I156" s="618">
        <f t="shared" si="34"/>
        <v>0</v>
      </c>
      <c r="J156" s="618">
        <f t="shared" si="34"/>
        <v>0</v>
      </c>
      <c r="K156" s="618">
        <f t="shared" si="34"/>
        <v>0</v>
      </c>
      <c r="L156" s="618">
        <f t="shared" si="34"/>
        <v>0</v>
      </c>
      <c r="M156" s="618">
        <f t="shared" si="34"/>
        <v>0</v>
      </c>
      <c r="N156" s="618">
        <f t="shared" si="34"/>
        <v>0</v>
      </c>
      <c r="O156" s="618">
        <f t="shared" si="34"/>
        <v>0</v>
      </c>
      <c r="P156" s="618">
        <f t="shared" si="34"/>
        <v>0</v>
      </c>
      <c r="Q156" s="618">
        <f t="shared" si="34"/>
        <v>0</v>
      </c>
      <c r="R156" s="206">
        <f t="shared" si="30"/>
        <v>0</v>
      </c>
      <c r="S156" s="232"/>
    </row>
    <row r="157" spans="1:19" s="185" customFormat="1" ht="31.8" thickBot="1" x14ac:dyDescent="0.3">
      <c r="A157" s="198"/>
      <c r="B157" s="243" t="s">
        <v>484</v>
      </c>
      <c r="C157" s="244" t="s">
        <v>484</v>
      </c>
      <c r="D157" s="656" t="s">
        <v>484</v>
      </c>
      <c r="E157" s="680" t="s">
        <v>487</v>
      </c>
      <c r="F157" s="618">
        <f>F115+F90</f>
        <v>0</v>
      </c>
      <c r="G157" s="618">
        <f>G115+G90</f>
        <v>0</v>
      </c>
      <c r="H157" s="618">
        <f t="shared" ref="H157:Q157" si="35">H115+H90</f>
        <v>0</v>
      </c>
      <c r="I157" s="618">
        <f t="shared" si="35"/>
        <v>0</v>
      </c>
      <c r="J157" s="618">
        <f t="shared" si="35"/>
        <v>0</v>
      </c>
      <c r="K157" s="618">
        <f t="shared" si="35"/>
        <v>0</v>
      </c>
      <c r="L157" s="618">
        <f t="shared" si="35"/>
        <v>0</v>
      </c>
      <c r="M157" s="618">
        <f t="shared" si="35"/>
        <v>0</v>
      </c>
      <c r="N157" s="618">
        <f t="shared" si="35"/>
        <v>0</v>
      </c>
      <c r="O157" s="618">
        <f t="shared" si="35"/>
        <v>0</v>
      </c>
      <c r="P157" s="618">
        <f t="shared" si="35"/>
        <v>0</v>
      </c>
      <c r="Q157" s="618">
        <f t="shared" si="35"/>
        <v>0</v>
      </c>
      <c r="R157" s="206">
        <f t="shared" si="30"/>
        <v>0</v>
      </c>
    </row>
    <row r="158" spans="1:19" s="185" customFormat="1" ht="51.75" customHeight="1" x14ac:dyDescent="0.3">
      <c r="A158" s="198"/>
      <c r="B158" s="172"/>
      <c r="C158" s="198"/>
      <c r="D158" s="198"/>
      <c r="E158" s="588" t="s">
        <v>676</v>
      </c>
      <c r="F158" s="841">
        <f>F155-'дод 8'!C85-'дод 8'!C99</f>
        <v>3430619</v>
      </c>
      <c r="G158" s="687"/>
      <c r="H158" s="246"/>
      <c r="I158" s="246"/>
      <c r="J158" s="246"/>
      <c r="K158" s="247"/>
      <c r="L158" s="247"/>
      <c r="M158" s="247"/>
      <c r="N158" s="247"/>
      <c r="O158" s="587"/>
      <c r="Q158" s="588" t="s">
        <v>675</v>
      </c>
      <c r="R158" s="248"/>
    </row>
    <row r="159" spans="1:19" x14ac:dyDescent="0.25">
      <c r="F159" s="249"/>
      <c r="G159" s="249"/>
      <c r="K159" s="250"/>
      <c r="R159" s="625"/>
    </row>
    <row r="160" spans="1:19" x14ac:dyDescent="0.25">
      <c r="F160" s="249"/>
      <c r="K160" s="250"/>
    </row>
  </sheetData>
  <mergeCells count="17">
    <mergeCell ref="M9:M10"/>
    <mergeCell ref="N1:P1"/>
    <mergeCell ref="B4:R4"/>
    <mergeCell ref="B8:B10"/>
    <mergeCell ref="C8:C10"/>
    <mergeCell ref="D8:D10"/>
    <mergeCell ref="E8:E10"/>
    <mergeCell ref="F8:J8"/>
    <mergeCell ref="K8:Q8"/>
    <mergeCell ref="R8:R10"/>
    <mergeCell ref="O9:P9"/>
    <mergeCell ref="Q9:Q10"/>
    <mergeCell ref="F9:F10"/>
    <mergeCell ref="G9:G10"/>
    <mergeCell ref="H9:I9"/>
    <mergeCell ref="J9:J10"/>
    <mergeCell ref="K9:K10"/>
  </mergeCells>
  <printOptions horizontalCentered="1"/>
  <pageMargins left="0.78740157480314965" right="0.78740157480314965" top="1.1811023622047245" bottom="0.78740157480314965" header="0.51181102362204722" footer="0.31496062992125984"/>
  <pageSetup paperSize="9" scale="62" fitToHeight="5" orientation="landscape" horizontalDpi="300" verticalDpi="300" r:id="rId1"/>
  <headerFooter alignWithMargins="0">
    <oddFooter>&amp;R&amp;P</oddFooter>
  </headerFooter>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topLeftCell="WVF1" zoomScale="75" zoomScaleNormal="75" workbookViewId="0">
      <selection activeCell="WVF1" sqref="A1:XFD28"/>
    </sheetView>
  </sheetViews>
  <sheetFormatPr defaultRowHeight="13.2" x14ac:dyDescent="0.25"/>
  <cols>
    <col min="1" max="1" width="20.44140625" style="252" customWidth="1"/>
    <col min="2" max="2" width="23.33203125" style="252" customWidth="1"/>
    <col min="3" max="3" width="17.44140625" style="252" customWidth="1"/>
    <col min="4" max="6" width="33" style="252" customWidth="1"/>
    <col min="7" max="256" width="9.109375" style="252"/>
    <col min="257" max="257" width="20.44140625" style="252" customWidth="1"/>
    <col min="258" max="258" width="23.33203125" style="252" customWidth="1"/>
    <col min="259" max="259" width="17.44140625" style="252" customWidth="1"/>
    <col min="260" max="262" width="33" style="252" customWidth="1"/>
    <col min="263" max="512" width="9.109375" style="252"/>
    <col min="513" max="513" width="20.44140625" style="252" customWidth="1"/>
    <col min="514" max="514" width="23.33203125" style="252" customWidth="1"/>
    <col min="515" max="515" width="17.44140625" style="252" customWidth="1"/>
    <col min="516" max="518" width="33" style="252" customWidth="1"/>
    <col min="519" max="768" width="9.109375" style="252"/>
    <col min="769" max="769" width="20.44140625" style="252" customWidth="1"/>
    <col min="770" max="770" width="23.33203125" style="252" customWidth="1"/>
    <col min="771" max="771" width="17.44140625" style="252" customWidth="1"/>
    <col min="772" max="774" width="33" style="252" customWidth="1"/>
    <col min="775" max="1024" width="9.109375" style="252"/>
    <col min="1025" max="1025" width="20.44140625" style="252" customWidth="1"/>
    <col min="1026" max="1026" width="23.33203125" style="252" customWidth="1"/>
    <col min="1027" max="1027" width="17.44140625" style="252" customWidth="1"/>
    <col min="1028" max="1030" width="33" style="252" customWidth="1"/>
    <col min="1031" max="1280" width="9.109375" style="252"/>
    <col min="1281" max="1281" width="20.44140625" style="252" customWidth="1"/>
    <col min="1282" max="1282" width="23.33203125" style="252" customWidth="1"/>
    <col min="1283" max="1283" width="17.44140625" style="252" customWidth="1"/>
    <col min="1284" max="1286" width="33" style="252" customWidth="1"/>
    <col min="1287" max="1536" width="9.109375" style="252"/>
    <col min="1537" max="1537" width="20.44140625" style="252" customWidth="1"/>
    <col min="1538" max="1538" width="23.33203125" style="252" customWidth="1"/>
    <col min="1539" max="1539" width="17.44140625" style="252" customWidth="1"/>
    <col min="1540" max="1542" width="33" style="252" customWidth="1"/>
    <col min="1543" max="1792" width="9.109375" style="252"/>
    <col min="1793" max="1793" width="20.44140625" style="252" customWidth="1"/>
    <col min="1794" max="1794" width="23.33203125" style="252" customWidth="1"/>
    <col min="1795" max="1795" width="17.44140625" style="252" customWidth="1"/>
    <col min="1796" max="1798" width="33" style="252" customWidth="1"/>
    <col min="1799" max="2048" width="9.109375" style="252"/>
    <col min="2049" max="2049" width="20.44140625" style="252" customWidth="1"/>
    <col min="2050" max="2050" width="23.33203125" style="252" customWidth="1"/>
    <col min="2051" max="2051" width="17.44140625" style="252" customWidth="1"/>
    <col min="2052" max="2054" width="33" style="252" customWidth="1"/>
    <col min="2055" max="2304" width="9.109375" style="252"/>
    <col min="2305" max="2305" width="20.44140625" style="252" customWidth="1"/>
    <col min="2306" max="2306" width="23.33203125" style="252" customWidth="1"/>
    <col min="2307" max="2307" width="17.44140625" style="252" customWidth="1"/>
    <col min="2308" max="2310" width="33" style="252" customWidth="1"/>
    <col min="2311" max="2560" width="9.109375" style="252"/>
    <col min="2561" max="2561" width="20.44140625" style="252" customWidth="1"/>
    <col min="2562" max="2562" width="23.33203125" style="252" customWidth="1"/>
    <col min="2563" max="2563" width="17.44140625" style="252" customWidth="1"/>
    <col min="2564" max="2566" width="33" style="252" customWidth="1"/>
    <col min="2567" max="2816" width="9.109375" style="252"/>
    <col min="2817" max="2817" width="20.44140625" style="252" customWidth="1"/>
    <col min="2818" max="2818" width="23.33203125" style="252" customWidth="1"/>
    <col min="2819" max="2819" width="17.44140625" style="252" customWidth="1"/>
    <col min="2820" max="2822" width="33" style="252" customWidth="1"/>
    <col min="2823" max="3072" width="9.109375" style="252"/>
    <col min="3073" max="3073" width="20.44140625" style="252" customWidth="1"/>
    <col min="3074" max="3074" width="23.33203125" style="252" customWidth="1"/>
    <col min="3075" max="3075" width="17.44140625" style="252" customWidth="1"/>
    <col min="3076" max="3078" width="33" style="252" customWidth="1"/>
    <col min="3079" max="3328" width="9.109375" style="252"/>
    <col min="3329" max="3329" width="20.44140625" style="252" customWidth="1"/>
    <col min="3330" max="3330" width="23.33203125" style="252" customWidth="1"/>
    <col min="3331" max="3331" width="17.44140625" style="252" customWidth="1"/>
    <col min="3332" max="3334" width="33" style="252" customWidth="1"/>
    <col min="3335" max="3584" width="9.109375" style="252"/>
    <col min="3585" max="3585" width="20.44140625" style="252" customWidth="1"/>
    <col min="3586" max="3586" width="23.33203125" style="252" customWidth="1"/>
    <col min="3587" max="3587" width="17.44140625" style="252" customWidth="1"/>
    <col min="3588" max="3590" width="33" style="252" customWidth="1"/>
    <col min="3591" max="3840" width="9.109375" style="252"/>
    <col min="3841" max="3841" width="20.44140625" style="252" customWidth="1"/>
    <col min="3842" max="3842" width="23.33203125" style="252" customWidth="1"/>
    <col min="3843" max="3843" width="17.44140625" style="252" customWidth="1"/>
    <col min="3844" max="3846" width="33" style="252" customWidth="1"/>
    <col min="3847" max="4096" width="9.109375" style="252"/>
    <col min="4097" max="4097" width="20.44140625" style="252" customWidth="1"/>
    <col min="4098" max="4098" width="23.33203125" style="252" customWidth="1"/>
    <col min="4099" max="4099" width="17.44140625" style="252" customWidth="1"/>
    <col min="4100" max="4102" width="33" style="252" customWidth="1"/>
    <col min="4103" max="4352" width="9.109375" style="252"/>
    <col min="4353" max="4353" width="20.44140625" style="252" customWidth="1"/>
    <col min="4354" max="4354" width="23.33203125" style="252" customWidth="1"/>
    <col min="4355" max="4355" width="17.44140625" style="252" customWidth="1"/>
    <col min="4356" max="4358" width="33" style="252" customWidth="1"/>
    <col min="4359" max="4608" width="9.109375" style="252"/>
    <col min="4609" max="4609" width="20.44140625" style="252" customWidth="1"/>
    <col min="4610" max="4610" width="23.33203125" style="252" customWidth="1"/>
    <col min="4611" max="4611" width="17.44140625" style="252" customWidth="1"/>
    <col min="4612" max="4614" width="33" style="252" customWidth="1"/>
    <col min="4615" max="4864" width="9.109375" style="252"/>
    <col min="4865" max="4865" width="20.44140625" style="252" customWidth="1"/>
    <col min="4866" max="4866" width="23.33203125" style="252" customWidth="1"/>
    <col min="4867" max="4867" width="17.44140625" style="252" customWidth="1"/>
    <col min="4868" max="4870" width="33" style="252" customWidth="1"/>
    <col min="4871" max="5120" width="9.109375" style="252"/>
    <col min="5121" max="5121" width="20.44140625" style="252" customWidth="1"/>
    <col min="5122" max="5122" width="23.33203125" style="252" customWidth="1"/>
    <col min="5123" max="5123" width="17.44140625" style="252" customWidth="1"/>
    <col min="5124" max="5126" width="33" style="252" customWidth="1"/>
    <col min="5127" max="5376" width="9.109375" style="252"/>
    <col min="5377" max="5377" width="20.44140625" style="252" customWidth="1"/>
    <col min="5378" max="5378" width="23.33203125" style="252" customWidth="1"/>
    <col min="5379" max="5379" width="17.44140625" style="252" customWidth="1"/>
    <col min="5380" max="5382" width="33" style="252" customWidth="1"/>
    <col min="5383" max="5632" width="9.109375" style="252"/>
    <col min="5633" max="5633" width="20.44140625" style="252" customWidth="1"/>
    <col min="5634" max="5634" width="23.33203125" style="252" customWidth="1"/>
    <col min="5635" max="5635" width="17.44140625" style="252" customWidth="1"/>
    <col min="5636" max="5638" width="33" style="252" customWidth="1"/>
    <col min="5639" max="5888" width="9.109375" style="252"/>
    <col min="5889" max="5889" width="20.44140625" style="252" customWidth="1"/>
    <col min="5890" max="5890" width="23.33203125" style="252" customWidth="1"/>
    <col min="5891" max="5891" width="17.44140625" style="252" customWidth="1"/>
    <col min="5892" max="5894" width="33" style="252" customWidth="1"/>
    <col min="5895" max="6144" width="9.109375" style="252"/>
    <col min="6145" max="6145" width="20.44140625" style="252" customWidth="1"/>
    <col min="6146" max="6146" width="23.33203125" style="252" customWidth="1"/>
    <col min="6147" max="6147" width="17.44140625" style="252" customWidth="1"/>
    <col min="6148" max="6150" width="33" style="252" customWidth="1"/>
    <col min="6151" max="6400" width="9.109375" style="252"/>
    <col min="6401" max="6401" width="20.44140625" style="252" customWidth="1"/>
    <col min="6402" max="6402" width="23.33203125" style="252" customWidth="1"/>
    <col min="6403" max="6403" width="17.44140625" style="252" customWidth="1"/>
    <col min="6404" max="6406" width="33" style="252" customWidth="1"/>
    <col min="6407" max="6656" width="9.109375" style="252"/>
    <col min="6657" max="6657" width="20.44140625" style="252" customWidth="1"/>
    <col min="6658" max="6658" width="23.33203125" style="252" customWidth="1"/>
    <col min="6659" max="6659" width="17.44140625" style="252" customWidth="1"/>
    <col min="6660" max="6662" width="33" style="252" customWidth="1"/>
    <col min="6663" max="6912" width="9.109375" style="252"/>
    <col min="6913" max="6913" width="20.44140625" style="252" customWidth="1"/>
    <col min="6914" max="6914" width="23.33203125" style="252" customWidth="1"/>
    <col min="6915" max="6915" width="17.44140625" style="252" customWidth="1"/>
    <col min="6916" max="6918" width="33" style="252" customWidth="1"/>
    <col min="6919" max="7168" width="9.109375" style="252"/>
    <col min="7169" max="7169" width="20.44140625" style="252" customWidth="1"/>
    <col min="7170" max="7170" width="23.33203125" style="252" customWidth="1"/>
    <col min="7171" max="7171" width="17.44140625" style="252" customWidth="1"/>
    <col min="7172" max="7174" width="33" style="252" customWidth="1"/>
    <col min="7175" max="7424" width="9.109375" style="252"/>
    <col min="7425" max="7425" width="20.44140625" style="252" customWidth="1"/>
    <col min="7426" max="7426" width="23.33203125" style="252" customWidth="1"/>
    <col min="7427" max="7427" width="17.44140625" style="252" customWidth="1"/>
    <col min="7428" max="7430" width="33" style="252" customWidth="1"/>
    <col min="7431" max="7680" width="9.109375" style="252"/>
    <col min="7681" max="7681" width="20.44140625" style="252" customWidth="1"/>
    <col min="7682" max="7682" width="23.33203125" style="252" customWidth="1"/>
    <col min="7683" max="7683" width="17.44140625" style="252" customWidth="1"/>
    <col min="7684" max="7686" width="33" style="252" customWidth="1"/>
    <col min="7687" max="7936" width="9.109375" style="252"/>
    <col min="7937" max="7937" width="20.44140625" style="252" customWidth="1"/>
    <col min="7938" max="7938" width="23.33203125" style="252" customWidth="1"/>
    <col min="7939" max="7939" width="17.44140625" style="252" customWidth="1"/>
    <col min="7940" max="7942" width="33" style="252" customWidth="1"/>
    <col min="7943" max="8192" width="9.109375" style="252"/>
    <col min="8193" max="8193" width="20.44140625" style="252" customWidth="1"/>
    <col min="8194" max="8194" width="23.33203125" style="252" customWidth="1"/>
    <col min="8195" max="8195" width="17.44140625" style="252" customWidth="1"/>
    <col min="8196" max="8198" width="33" style="252" customWidth="1"/>
    <col min="8199" max="8448" width="9.109375" style="252"/>
    <col min="8449" max="8449" width="20.44140625" style="252" customWidth="1"/>
    <col min="8450" max="8450" width="23.33203125" style="252" customWidth="1"/>
    <col min="8451" max="8451" width="17.44140625" style="252" customWidth="1"/>
    <col min="8452" max="8454" width="33" style="252" customWidth="1"/>
    <col min="8455" max="8704" width="9.109375" style="252"/>
    <col min="8705" max="8705" width="20.44140625" style="252" customWidth="1"/>
    <col min="8706" max="8706" width="23.33203125" style="252" customWidth="1"/>
    <col min="8707" max="8707" width="17.44140625" style="252" customWidth="1"/>
    <col min="8708" max="8710" width="33" style="252" customWidth="1"/>
    <col min="8711" max="8960" width="9.109375" style="252"/>
    <col min="8961" max="8961" width="20.44140625" style="252" customWidth="1"/>
    <col min="8962" max="8962" width="23.33203125" style="252" customWidth="1"/>
    <col min="8963" max="8963" width="17.44140625" style="252" customWidth="1"/>
    <col min="8964" max="8966" width="33" style="252" customWidth="1"/>
    <col min="8967" max="9216" width="9.109375" style="252"/>
    <col min="9217" max="9217" width="20.44140625" style="252" customWidth="1"/>
    <col min="9218" max="9218" width="23.33203125" style="252" customWidth="1"/>
    <col min="9219" max="9219" width="17.44140625" style="252" customWidth="1"/>
    <col min="9220" max="9222" width="33" style="252" customWidth="1"/>
    <col min="9223" max="9472" width="9.109375" style="252"/>
    <col min="9473" max="9473" width="20.44140625" style="252" customWidth="1"/>
    <col min="9474" max="9474" width="23.33203125" style="252" customWidth="1"/>
    <col min="9475" max="9475" width="17.44140625" style="252" customWidth="1"/>
    <col min="9476" max="9478" width="33" style="252" customWidth="1"/>
    <col min="9479" max="9728" width="9.109375" style="252"/>
    <col min="9729" max="9729" width="20.44140625" style="252" customWidth="1"/>
    <col min="9730" max="9730" width="23.33203125" style="252" customWidth="1"/>
    <col min="9731" max="9731" width="17.44140625" style="252" customWidth="1"/>
    <col min="9732" max="9734" width="33" style="252" customWidth="1"/>
    <col min="9735" max="9984" width="9.109375" style="252"/>
    <col min="9985" max="9985" width="20.44140625" style="252" customWidth="1"/>
    <col min="9986" max="9986" width="23.33203125" style="252" customWidth="1"/>
    <col min="9987" max="9987" width="17.44140625" style="252" customWidth="1"/>
    <col min="9988" max="9990" width="33" style="252" customWidth="1"/>
    <col min="9991" max="10240" width="9.109375" style="252"/>
    <col min="10241" max="10241" width="20.44140625" style="252" customWidth="1"/>
    <col min="10242" max="10242" width="23.33203125" style="252" customWidth="1"/>
    <col min="10243" max="10243" width="17.44140625" style="252" customWidth="1"/>
    <col min="10244" max="10246" width="33" style="252" customWidth="1"/>
    <col min="10247" max="10496" width="9.109375" style="252"/>
    <col min="10497" max="10497" width="20.44140625" style="252" customWidth="1"/>
    <col min="10498" max="10498" width="23.33203125" style="252" customWidth="1"/>
    <col min="10499" max="10499" width="17.44140625" style="252" customWidth="1"/>
    <col min="10500" max="10502" width="33" style="252" customWidth="1"/>
    <col min="10503" max="10752" width="9.109375" style="252"/>
    <col min="10753" max="10753" width="20.44140625" style="252" customWidth="1"/>
    <col min="10754" max="10754" width="23.33203125" style="252" customWidth="1"/>
    <col min="10755" max="10755" width="17.44140625" style="252" customWidth="1"/>
    <col min="10756" max="10758" width="33" style="252" customWidth="1"/>
    <col min="10759" max="11008" width="9.109375" style="252"/>
    <col min="11009" max="11009" width="20.44140625" style="252" customWidth="1"/>
    <col min="11010" max="11010" width="23.33203125" style="252" customWidth="1"/>
    <col min="11011" max="11011" width="17.44140625" style="252" customWidth="1"/>
    <col min="11012" max="11014" width="33" style="252" customWidth="1"/>
    <col min="11015" max="11264" width="9.109375" style="252"/>
    <col min="11265" max="11265" width="20.44140625" style="252" customWidth="1"/>
    <col min="11266" max="11266" width="23.33203125" style="252" customWidth="1"/>
    <col min="11267" max="11267" width="17.44140625" style="252" customWidth="1"/>
    <col min="11268" max="11270" width="33" style="252" customWidth="1"/>
    <col min="11271" max="11520" width="9.109375" style="252"/>
    <col min="11521" max="11521" width="20.44140625" style="252" customWidth="1"/>
    <col min="11522" max="11522" width="23.33203125" style="252" customWidth="1"/>
    <col min="11523" max="11523" width="17.44140625" style="252" customWidth="1"/>
    <col min="11524" max="11526" width="33" style="252" customWidth="1"/>
    <col min="11527" max="11776" width="9.109375" style="252"/>
    <col min="11777" max="11777" width="20.44140625" style="252" customWidth="1"/>
    <col min="11778" max="11778" width="23.33203125" style="252" customWidth="1"/>
    <col min="11779" max="11779" width="17.44140625" style="252" customWidth="1"/>
    <col min="11780" max="11782" width="33" style="252" customWidth="1"/>
    <col min="11783" max="12032" width="9.109375" style="252"/>
    <col min="12033" max="12033" width="20.44140625" style="252" customWidth="1"/>
    <col min="12034" max="12034" width="23.33203125" style="252" customWidth="1"/>
    <col min="12035" max="12035" width="17.44140625" style="252" customWidth="1"/>
    <col min="12036" max="12038" width="33" style="252" customWidth="1"/>
    <col min="12039" max="12288" width="9.109375" style="252"/>
    <col min="12289" max="12289" width="20.44140625" style="252" customWidth="1"/>
    <col min="12290" max="12290" width="23.33203125" style="252" customWidth="1"/>
    <col min="12291" max="12291" width="17.44140625" style="252" customWidth="1"/>
    <col min="12292" max="12294" width="33" style="252" customWidth="1"/>
    <col min="12295" max="12544" width="9.109375" style="252"/>
    <col min="12545" max="12545" width="20.44140625" style="252" customWidth="1"/>
    <col min="12546" max="12546" width="23.33203125" style="252" customWidth="1"/>
    <col min="12547" max="12547" width="17.44140625" style="252" customWidth="1"/>
    <col min="12548" max="12550" width="33" style="252" customWidth="1"/>
    <col min="12551" max="12800" width="9.109375" style="252"/>
    <col min="12801" max="12801" width="20.44140625" style="252" customWidth="1"/>
    <col min="12802" max="12802" width="23.33203125" style="252" customWidth="1"/>
    <col min="12803" max="12803" width="17.44140625" style="252" customWidth="1"/>
    <col min="12804" max="12806" width="33" style="252" customWidth="1"/>
    <col min="12807" max="13056" width="9.109375" style="252"/>
    <col min="13057" max="13057" width="20.44140625" style="252" customWidth="1"/>
    <col min="13058" max="13058" width="23.33203125" style="252" customWidth="1"/>
    <col min="13059" max="13059" width="17.44140625" style="252" customWidth="1"/>
    <col min="13060" max="13062" width="33" style="252" customWidth="1"/>
    <col min="13063" max="13312" width="9.109375" style="252"/>
    <col min="13313" max="13313" width="20.44140625" style="252" customWidth="1"/>
    <col min="13314" max="13314" width="23.33203125" style="252" customWidth="1"/>
    <col min="13315" max="13315" width="17.44140625" style="252" customWidth="1"/>
    <col min="13316" max="13318" width="33" style="252" customWidth="1"/>
    <col min="13319" max="13568" width="9.109375" style="252"/>
    <col min="13569" max="13569" width="20.44140625" style="252" customWidth="1"/>
    <col min="13570" max="13570" width="23.33203125" style="252" customWidth="1"/>
    <col min="13571" max="13571" width="17.44140625" style="252" customWidth="1"/>
    <col min="13572" max="13574" width="33" style="252" customWidth="1"/>
    <col min="13575" max="13824" width="9.109375" style="252"/>
    <col min="13825" max="13825" width="20.44140625" style="252" customWidth="1"/>
    <col min="13826" max="13826" width="23.33203125" style="252" customWidth="1"/>
    <col min="13827" max="13827" width="17.44140625" style="252" customWidth="1"/>
    <col min="13828" max="13830" width="33" style="252" customWidth="1"/>
    <col min="13831" max="14080" width="9.109375" style="252"/>
    <col min="14081" max="14081" width="20.44140625" style="252" customWidth="1"/>
    <col min="14082" max="14082" width="23.33203125" style="252" customWidth="1"/>
    <col min="14083" max="14083" width="17.44140625" style="252" customWidth="1"/>
    <col min="14084" max="14086" width="33" style="252" customWidth="1"/>
    <col min="14087" max="14336" width="9.109375" style="252"/>
    <col min="14337" max="14337" width="20.44140625" style="252" customWidth="1"/>
    <col min="14338" max="14338" width="23.33203125" style="252" customWidth="1"/>
    <col min="14339" max="14339" width="17.44140625" style="252" customWidth="1"/>
    <col min="14340" max="14342" width="33" style="252" customWidth="1"/>
    <col min="14343" max="14592" width="9.109375" style="252"/>
    <col min="14593" max="14593" width="20.44140625" style="252" customWidth="1"/>
    <col min="14594" max="14594" width="23.33203125" style="252" customWidth="1"/>
    <col min="14595" max="14595" width="17.44140625" style="252" customWidth="1"/>
    <col min="14596" max="14598" width="33" style="252" customWidth="1"/>
    <col min="14599" max="14848" width="9.109375" style="252"/>
    <col min="14849" max="14849" width="20.44140625" style="252" customWidth="1"/>
    <col min="14850" max="14850" width="23.33203125" style="252" customWidth="1"/>
    <col min="14851" max="14851" width="17.44140625" style="252" customWidth="1"/>
    <col min="14852" max="14854" width="33" style="252" customWidth="1"/>
    <col min="14855" max="15104" width="9.109375" style="252"/>
    <col min="15105" max="15105" width="20.44140625" style="252" customWidth="1"/>
    <col min="15106" max="15106" width="23.33203125" style="252" customWidth="1"/>
    <col min="15107" max="15107" width="17.44140625" style="252" customWidth="1"/>
    <col min="15108" max="15110" width="33" style="252" customWidth="1"/>
    <col min="15111" max="15360" width="9.109375" style="252"/>
    <col min="15361" max="15361" width="20.44140625" style="252" customWidth="1"/>
    <col min="15362" max="15362" width="23.33203125" style="252" customWidth="1"/>
    <col min="15363" max="15363" width="17.44140625" style="252" customWidth="1"/>
    <col min="15364" max="15366" width="33" style="252" customWidth="1"/>
    <col min="15367" max="15616" width="9.109375" style="252"/>
    <col min="15617" max="15617" width="20.44140625" style="252" customWidth="1"/>
    <col min="15618" max="15618" width="23.33203125" style="252" customWidth="1"/>
    <col min="15619" max="15619" width="17.44140625" style="252" customWidth="1"/>
    <col min="15620" max="15622" width="33" style="252" customWidth="1"/>
    <col min="15623" max="15872" width="9.109375" style="252"/>
    <col min="15873" max="15873" width="20.44140625" style="252" customWidth="1"/>
    <col min="15874" max="15874" width="23.33203125" style="252" customWidth="1"/>
    <col min="15875" max="15875" width="17.44140625" style="252" customWidth="1"/>
    <col min="15876" max="15878" width="33" style="252" customWidth="1"/>
    <col min="15879" max="16128" width="9.109375" style="252"/>
    <col min="16129" max="16129" width="20.44140625" style="252" customWidth="1"/>
    <col min="16130" max="16130" width="23.33203125" style="252" customWidth="1"/>
    <col min="16131" max="16131" width="17.44140625" style="252" customWidth="1"/>
    <col min="16132" max="16134" width="33" style="252" customWidth="1"/>
    <col min="16135" max="16384" width="9.109375" style="252"/>
  </cols>
  <sheetData>
    <row r="1" spans="1:16" ht="13.5" customHeight="1" x14ac:dyDescent="0.3">
      <c r="I1" s="253" t="s">
        <v>488</v>
      </c>
    </row>
    <row r="2" spans="1:16" ht="13.5" hidden="1" customHeight="1" x14ac:dyDescent="0.3">
      <c r="I2" s="14" t="s">
        <v>184</v>
      </c>
    </row>
    <row r="3" spans="1:16" ht="13.5" hidden="1" customHeight="1" x14ac:dyDescent="0.3">
      <c r="I3" s="14" t="s">
        <v>185</v>
      </c>
    </row>
    <row r="4" spans="1:16" ht="13.5" hidden="1" customHeight="1" x14ac:dyDescent="0.3">
      <c r="I4" s="14" t="s">
        <v>644</v>
      </c>
    </row>
    <row r="5" spans="1:16" ht="13.5" hidden="1" customHeight="1" x14ac:dyDescent="0.25">
      <c r="A5" s="895" t="s">
        <v>489</v>
      </c>
      <c r="B5" s="895"/>
      <c r="C5" s="895"/>
      <c r="D5" s="895"/>
      <c r="E5" s="895"/>
      <c r="F5" s="895"/>
      <c r="G5" s="895"/>
      <c r="H5" s="895"/>
      <c r="I5" s="895"/>
      <c r="J5" s="895"/>
      <c r="K5" s="895"/>
      <c r="L5" s="895"/>
      <c r="M5" s="895"/>
      <c r="N5" s="895"/>
      <c r="O5" s="895"/>
      <c r="P5" s="895"/>
    </row>
    <row r="6" spans="1:16" ht="13.5" hidden="1" customHeight="1" x14ac:dyDescent="0.25">
      <c r="A6" s="895" t="s">
        <v>187</v>
      </c>
      <c r="B6" s="895"/>
      <c r="C6" s="895"/>
      <c r="D6" s="895"/>
      <c r="E6" s="895"/>
      <c r="F6" s="895"/>
      <c r="G6" s="895"/>
      <c r="H6" s="895"/>
      <c r="I6" s="895"/>
      <c r="J6" s="895"/>
      <c r="K6" s="895"/>
      <c r="L6" s="895"/>
      <c r="M6" s="895"/>
      <c r="N6" s="895"/>
      <c r="O6" s="895"/>
      <c r="P6" s="895"/>
    </row>
    <row r="7" spans="1:16" ht="15.6" hidden="1" x14ac:dyDescent="0.25">
      <c r="A7" s="178">
        <v>11503000000</v>
      </c>
    </row>
    <row r="8" spans="1:16" ht="15.6" hidden="1" x14ac:dyDescent="0.25">
      <c r="A8" s="178" t="s">
        <v>2</v>
      </c>
    </row>
    <row r="9" spans="1:16" ht="13.8" hidden="1" thickBot="1" x14ac:dyDescent="0.3">
      <c r="O9" s="252" t="s">
        <v>188</v>
      </c>
    </row>
    <row r="10" spans="1:16" ht="222.75" hidden="1" customHeight="1" thickBot="1" x14ac:dyDescent="0.3">
      <c r="A10" s="896" t="s">
        <v>4</v>
      </c>
      <c r="B10" s="899" t="s">
        <v>5</v>
      </c>
      <c r="C10" s="899" t="s">
        <v>6</v>
      </c>
      <c r="D10" s="899" t="s">
        <v>490</v>
      </c>
      <c r="E10" s="902" t="s">
        <v>491</v>
      </c>
      <c r="F10" s="903"/>
      <c r="G10" s="903"/>
      <c r="H10" s="904"/>
      <c r="I10" s="902" t="s">
        <v>492</v>
      </c>
      <c r="J10" s="903"/>
      <c r="K10" s="903"/>
      <c r="L10" s="904"/>
      <c r="M10" s="902" t="s">
        <v>493</v>
      </c>
      <c r="N10" s="903"/>
      <c r="O10" s="903"/>
      <c r="P10" s="904"/>
    </row>
    <row r="11" spans="1:16" ht="16.2" hidden="1" thickBot="1" x14ac:dyDescent="0.3">
      <c r="A11" s="897"/>
      <c r="B11" s="900"/>
      <c r="C11" s="900"/>
      <c r="D11" s="900"/>
      <c r="E11" s="893" t="s">
        <v>494</v>
      </c>
      <c r="F11" s="902" t="s">
        <v>495</v>
      </c>
      <c r="G11" s="904"/>
      <c r="H11" s="893" t="s">
        <v>295</v>
      </c>
      <c r="I11" s="893" t="s">
        <v>494</v>
      </c>
      <c r="J11" s="902" t="s">
        <v>495</v>
      </c>
      <c r="K11" s="904"/>
      <c r="L11" s="893" t="s">
        <v>295</v>
      </c>
      <c r="M11" s="893" t="s">
        <v>494</v>
      </c>
      <c r="N11" s="902" t="s">
        <v>495</v>
      </c>
      <c r="O11" s="904"/>
      <c r="P11" s="893" t="s">
        <v>295</v>
      </c>
    </row>
    <row r="12" spans="1:16" ht="96" hidden="1" thickBot="1" x14ac:dyDescent="0.3">
      <c r="A12" s="898"/>
      <c r="B12" s="901"/>
      <c r="C12" s="901"/>
      <c r="D12" s="901"/>
      <c r="E12" s="894"/>
      <c r="F12" s="254" t="s">
        <v>13</v>
      </c>
      <c r="G12" s="254" t="s">
        <v>14</v>
      </c>
      <c r="H12" s="894"/>
      <c r="I12" s="894"/>
      <c r="J12" s="254" t="s">
        <v>13</v>
      </c>
      <c r="K12" s="254" t="s">
        <v>14</v>
      </c>
      <c r="L12" s="894"/>
      <c r="M12" s="894"/>
      <c r="N12" s="254" t="s">
        <v>13</v>
      </c>
      <c r="O12" s="254" t="s">
        <v>14</v>
      </c>
      <c r="P12" s="894"/>
    </row>
    <row r="13" spans="1:16" ht="16.2" hidden="1" thickBot="1" x14ac:dyDescent="0.3">
      <c r="A13" s="255">
        <v>1</v>
      </c>
      <c r="B13" s="256">
        <v>2</v>
      </c>
      <c r="C13" s="256">
        <v>3</v>
      </c>
      <c r="D13" s="256">
        <v>4</v>
      </c>
      <c r="E13" s="256">
        <v>5</v>
      </c>
      <c r="F13" s="256">
        <v>6</v>
      </c>
      <c r="G13" s="256">
        <v>7</v>
      </c>
      <c r="H13" s="256">
        <v>8</v>
      </c>
      <c r="I13" s="256">
        <v>9</v>
      </c>
      <c r="J13" s="256">
        <v>10</v>
      </c>
      <c r="K13" s="256">
        <v>11</v>
      </c>
      <c r="L13" s="256">
        <v>12</v>
      </c>
      <c r="M13" s="256">
        <v>13</v>
      </c>
      <c r="N13" s="256">
        <v>14</v>
      </c>
      <c r="O13" s="256">
        <v>15</v>
      </c>
      <c r="P13" s="256">
        <v>16</v>
      </c>
    </row>
    <row r="14" spans="1:16" ht="16.2" hidden="1" thickBot="1" x14ac:dyDescent="0.3">
      <c r="A14" s="255" t="s">
        <v>496</v>
      </c>
      <c r="B14" s="255" t="s">
        <v>496</v>
      </c>
      <c r="C14" s="255" t="s">
        <v>496</v>
      </c>
      <c r="D14" s="255" t="s">
        <v>496</v>
      </c>
      <c r="E14" s="255" t="s">
        <v>496</v>
      </c>
      <c r="F14" s="255" t="s">
        <v>496</v>
      </c>
      <c r="G14" s="255" t="s">
        <v>496</v>
      </c>
      <c r="H14" s="255" t="s">
        <v>496</v>
      </c>
      <c r="I14" s="255" t="s">
        <v>496</v>
      </c>
      <c r="J14" s="255" t="s">
        <v>496</v>
      </c>
      <c r="K14" s="255" t="s">
        <v>496</v>
      </c>
      <c r="L14" s="255" t="s">
        <v>496</v>
      </c>
      <c r="M14" s="255" t="s">
        <v>496</v>
      </c>
      <c r="N14" s="255" t="s">
        <v>496</v>
      </c>
      <c r="O14" s="255" t="s">
        <v>496</v>
      </c>
      <c r="P14" s="255" t="s">
        <v>496</v>
      </c>
    </row>
    <row r="15" spans="1:16" ht="16.2" hidden="1" thickBot="1" x14ac:dyDescent="0.3">
      <c r="A15" s="255" t="s">
        <v>484</v>
      </c>
      <c r="B15" s="256" t="s">
        <v>484</v>
      </c>
      <c r="C15" s="256" t="s">
        <v>484</v>
      </c>
      <c r="D15" s="257" t="s">
        <v>182</v>
      </c>
      <c r="E15" s="256" t="s">
        <v>344</v>
      </c>
      <c r="F15" s="256" t="s">
        <v>344</v>
      </c>
      <c r="G15" s="256" t="s">
        <v>344</v>
      </c>
      <c r="H15" s="256" t="s">
        <v>344</v>
      </c>
      <c r="I15" s="256" t="s">
        <v>344</v>
      </c>
      <c r="J15" s="256" t="s">
        <v>344</v>
      </c>
      <c r="K15" s="256" t="s">
        <v>344</v>
      </c>
      <c r="L15" s="256" t="s">
        <v>344</v>
      </c>
      <c r="M15" s="256" t="s">
        <v>344</v>
      </c>
      <c r="N15" s="256" t="s">
        <v>344</v>
      </c>
      <c r="O15" s="256" t="s">
        <v>344</v>
      </c>
      <c r="P15" s="256" t="s">
        <v>344</v>
      </c>
    </row>
    <row r="16" spans="1:16"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18">
    <mergeCell ref="J11:K11"/>
    <mergeCell ref="L11:L12"/>
    <mergeCell ref="M11:M12"/>
    <mergeCell ref="A5:P5"/>
    <mergeCell ref="A6:P6"/>
    <mergeCell ref="A10:A12"/>
    <mergeCell ref="B10:B12"/>
    <mergeCell ref="C10:C12"/>
    <mergeCell ref="D10:D12"/>
    <mergeCell ref="E10:H10"/>
    <mergeCell ref="I10:L10"/>
    <mergeCell ref="M10:P10"/>
    <mergeCell ref="E11:E12"/>
    <mergeCell ref="N11:O11"/>
    <mergeCell ref="P11:P12"/>
    <mergeCell ref="F11:G11"/>
    <mergeCell ref="H11:H12"/>
    <mergeCell ref="I11:I12"/>
  </mergeCells>
  <pageMargins left="0.70866141732283472" right="0.51181102362204722" top="0.94488188976377963" bottom="0.55118110236220474" header="0.31496062992125984" footer="0.31496062992125984"/>
  <pageSetup paperSize="9" scale="76" orientation="landscape"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3"/>
  <sheetViews>
    <sheetView view="pageBreakPreview" topLeftCell="A4" zoomScale="60" zoomScaleNormal="100" workbookViewId="0">
      <selection activeCell="A131" sqref="A131:C131"/>
    </sheetView>
  </sheetViews>
  <sheetFormatPr defaultRowHeight="15.6" x14ac:dyDescent="0.3"/>
  <cols>
    <col min="1" max="1" width="20.6640625" style="259" customWidth="1"/>
    <col min="2" max="2" width="71.6640625" style="259" customWidth="1"/>
    <col min="3" max="3" width="32.88671875" style="259" customWidth="1"/>
    <col min="4" max="4" width="12.6640625" style="259" hidden="1" customWidth="1"/>
    <col min="5" max="5" width="14.5546875" style="259" hidden="1" customWidth="1"/>
    <col min="6" max="6" width="19.88671875" style="259" hidden="1" customWidth="1"/>
    <col min="7" max="7" width="15" style="259" hidden="1" customWidth="1"/>
    <col min="8" max="8" width="28.88671875" style="259" hidden="1" customWidth="1"/>
    <col min="9" max="255" width="9.109375" style="259"/>
    <col min="256" max="257" width="20.6640625" style="259" customWidth="1"/>
    <col min="258" max="258" width="73.33203125" style="259" customWidth="1"/>
    <col min="259" max="259" width="31.44140625" style="259" customWidth="1"/>
    <col min="260" max="511" width="9.109375" style="259"/>
    <col min="512" max="513" width="20.6640625" style="259" customWidth="1"/>
    <col min="514" max="514" width="73.33203125" style="259" customWidth="1"/>
    <col min="515" max="515" width="31.44140625" style="259" customWidth="1"/>
    <col min="516" max="767" width="9.109375" style="259"/>
    <col min="768" max="769" width="20.6640625" style="259" customWidth="1"/>
    <col min="770" max="770" width="73.33203125" style="259" customWidth="1"/>
    <col min="771" max="771" width="31.44140625" style="259" customWidth="1"/>
    <col min="772" max="1023" width="9.109375" style="259"/>
    <col min="1024" max="1025" width="20.6640625" style="259" customWidth="1"/>
    <col min="1026" max="1026" width="73.33203125" style="259" customWidth="1"/>
    <col min="1027" max="1027" width="31.44140625" style="259" customWidth="1"/>
    <col min="1028" max="1279" width="9.109375" style="259"/>
    <col min="1280" max="1281" width="20.6640625" style="259" customWidth="1"/>
    <col min="1282" max="1282" width="73.33203125" style="259" customWidth="1"/>
    <col min="1283" max="1283" width="31.44140625" style="259" customWidth="1"/>
    <col min="1284" max="1535" width="9.109375" style="259"/>
    <col min="1536" max="1537" width="20.6640625" style="259" customWidth="1"/>
    <col min="1538" max="1538" width="73.33203125" style="259" customWidth="1"/>
    <col min="1539" max="1539" width="31.44140625" style="259" customWidth="1"/>
    <col min="1540" max="1791" width="9.109375" style="259"/>
    <col min="1792" max="1793" width="20.6640625" style="259" customWidth="1"/>
    <col min="1794" max="1794" width="73.33203125" style="259" customWidth="1"/>
    <col min="1795" max="1795" width="31.44140625" style="259" customWidth="1"/>
    <col min="1796" max="2047" width="9.109375" style="259"/>
    <col min="2048" max="2049" width="20.6640625" style="259" customWidth="1"/>
    <col min="2050" max="2050" width="73.33203125" style="259" customWidth="1"/>
    <col min="2051" max="2051" width="31.44140625" style="259" customWidth="1"/>
    <col min="2052" max="2303" width="9.109375" style="259"/>
    <col min="2304" max="2305" width="20.6640625" style="259" customWidth="1"/>
    <col min="2306" max="2306" width="73.33203125" style="259" customWidth="1"/>
    <col min="2307" max="2307" width="31.44140625" style="259" customWidth="1"/>
    <col min="2308" max="2559" width="9.109375" style="259"/>
    <col min="2560" max="2561" width="20.6640625" style="259" customWidth="1"/>
    <col min="2562" max="2562" width="73.33203125" style="259" customWidth="1"/>
    <col min="2563" max="2563" width="31.44140625" style="259" customWidth="1"/>
    <col min="2564" max="2815" width="9.109375" style="259"/>
    <col min="2816" max="2817" width="20.6640625" style="259" customWidth="1"/>
    <col min="2818" max="2818" width="73.33203125" style="259" customWidth="1"/>
    <col min="2819" max="2819" width="31.44140625" style="259" customWidth="1"/>
    <col min="2820" max="3071" width="9.109375" style="259"/>
    <col min="3072" max="3073" width="20.6640625" style="259" customWidth="1"/>
    <col min="3074" max="3074" width="73.33203125" style="259" customWidth="1"/>
    <col min="3075" max="3075" width="31.44140625" style="259" customWidth="1"/>
    <col min="3076" max="3327" width="9.109375" style="259"/>
    <col min="3328" max="3329" width="20.6640625" style="259" customWidth="1"/>
    <col min="3330" max="3330" width="73.33203125" style="259" customWidth="1"/>
    <col min="3331" max="3331" width="31.44140625" style="259" customWidth="1"/>
    <col min="3332" max="3583" width="9.109375" style="259"/>
    <col min="3584" max="3585" width="20.6640625" style="259" customWidth="1"/>
    <col min="3586" max="3586" width="73.33203125" style="259" customWidth="1"/>
    <col min="3587" max="3587" width="31.44140625" style="259" customWidth="1"/>
    <col min="3588" max="3839" width="9.109375" style="259"/>
    <col min="3840" max="3841" width="20.6640625" style="259" customWidth="1"/>
    <col min="3842" max="3842" width="73.33203125" style="259" customWidth="1"/>
    <col min="3843" max="3843" width="31.44140625" style="259" customWidth="1"/>
    <col min="3844" max="4095" width="9.109375" style="259"/>
    <col min="4096" max="4097" width="20.6640625" style="259" customWidth="1"/>
    <col min="4098" max="4098" width="73.33203125" style="259" customWidth="1"/>
    <col min="4099" max="4099" width="31.44140625" style="259" customWidth="1"/>
    <col min="4100" max="4351" width="9.109375" style="259"/>
    <col min="4352" max="4353" width="20.6640625" style="259" customWidth="1"/>
    <col min="4354" max="4354" width="73.33203125" style="259" customWidth="1"/>
    <col min="4355" max="4355" width="31.44140625" style="259" customWidth="1"/>
    <col min="4356" max="4607" width="9.109375" style="259"/>
    <col min="4608" max="4609" width="20.6640625" style="259" customWidth="1"/>
    <col min="4610" max="4610" width="73.33203125" style="259" customWidth="1"/>
    <col min="4611" max="4611" width="31.44140625" style="259" customWidth="1"/>
    <col min="4612" max="4863" width="9.109375" style="259"/>
    <col min="4864" max="4865" width="20.6640625" style="259" customWidth="1"/>
    <col min="4866" max="4866" width="73.33203125" style="259" customWidth="1"/>
    <col min="4867" max="4867" width="31.44140625" style="259" customWidth="1"/>
    <col min="4868" max="5119" width="9.109375" style="259"/>
    <col min="5120" max="5121" width="20.6640625" style="259" customWidth="1"/>
    <col min="5122" max="5122" width="73.33203125" style="259" customWidth="1"/>
    <col min="5123" max="5123" width="31.44140625" style="259" customWidth="1"/>
    <col min="5124" max="5375" width="9.109375" style="259"/>
    <col min="5376" max="5377" width="20.6640625" style="259" customWidth="1"/>
    <col min="5378" max="5378" width="73.33203125" style="259" customWidth="1"/>
    <col min="5379" max="5379" width="31.44140625" style="259" customWidth="1"/>
    <col min="5380" max="5631" width="9.109375" style="259"/>
    <col min="5632" max="5633" width="20.6640625" style="259" customWidth="1"/>
    <col min="5634" max="5634" width="73.33203125" style="259" customWidth="1"/>
    <col min="5635" max="5635" width="31.44140625" style="259" customWidth="1"/>
    <col min="5636" max="5887" width="9.109375" style="259"/>
    <col min="5888" max="5889" width="20.6640625" style="259" customWidth="1"/>
    <col min="5890" max="5890" width="73.33203125" style="259" customWidth="1"/>
    <col min="5891" max="5891" width="31.44140625" style="259" customWidth="1"/>
    <col min="5892" max="6143" width="9.109375" style="259"/>
    <col min="6144" max="6145" width="20.6640625" style="259" customWidth="1"/>
    <col min="6146" max="6146" width="73.33203125" style="259" customWidth="1"/>
    <col min="6147" max="6147" width="31.44140625" style="259" customWidth="1"/>
    <col min="6148" max="6399" width="9.109375" style="259"/>
    <col min="6400" max="6401" width="20.6640625" style="259" customWidth="1"/>
    <col min="6402" max="6402" width="73.33203125" style="259" customWidth="1"/>
    <col min="6403" max="6403" width="31.44140625" style="259" customWidth="1"/>
    <col min="6404" max="6655" width="9.109375" style="259"/>
    <col min="6656" max="6657" width="20.6640625" style="259" customWidth="1"/>
    <col min="6658" max="6658" width="73.33203125" style="259" customWidth="1"/>
    <col min="6659" max="6659" width="31.44140625" style="259" customWidth="1"/>
    <col min="6660" max="6911" width="9.109375" style="259"/>
    <col min="6912" max="6913" width="20.6640625" style="259" customWidth="1"/>
    <col min="6914" max="6914" width="73.33203125" style="259" customWidth="1"/>
    <col min="6915" max="6915" width="31.44140625" style="259" customWidth="1"/>
    <col min="6916" max="7167" width="9.109375" style="259"/>
    <col min="7168" max="7169" width="20.6640625" style="259" customWidth="1"/>
    <col min="7170" max="7170" width="73.33203125" style="259" customWidth="1"/>
    <col min="7171" max="7171" width="31.44140625" style="259" customWidth="1"/>
    <col min="7172" max="7423" width="9.109375" style="259"/>
    <col min="7424" max="7425" width="20.6640625" style="259" customWidth="1"/>
    <col min="7426" max="7426" width="73.33203125" style="259" customWidth="1"/>
    <col min="7427" max="7427" width="31.44140625" style="259" customWidth="1"/>
    <col min="7428" max="7679" width="9.109375" style="259"/>
    <col min="7680" max="7681" width="20.6640625" style="259" customWidth="1"/>
    <col min="7682" max="7682" width="73.33203125" style="259" customWidth="1"/>
    <col min="7683" max="7683" width="31.44140625" style="259" customWidth="1"/>
    <col min="7684" max="7935" width="9.109375" style="259"/>
    <col min="7936" max="7937" width="20.6640625" style="259" customWidth="1"/>
    <col min="7938" max="7938" width="73.33203125" style="259" customWidth="1"/>
    <col min="7939" max="7939" width="31.44140625" style="259" customWidth="1"/>
    <col min="7940" max="8191" width="9.109375" style="259"/>
    <col min="8192" max="8193" width="20.6640625" style="259" customWidth="1"/>
    <col min="8194" max="8194" width="73.33203125" style="259" customWidth="1"/>
    <col min="8195" max="8195" width="31.44140625" style="259" customWidth="1"/>
    <col min="8196" max="8447" width="9.109375" style="259"/>
    <col min="8448" max="8449" width="20.6640625" style="259" customWidth="1"/>
    <col min="8450" max="8450" width="73.33203125" style="259" customWidth="1"/>
    <col min="8451" max="8451" width="31.44140625" style="259" customWidth="1"/>
    <col min="8452" max="8703" width="9.109375" style="259"/>
    <col min="8704" max="8705" width="20.6640625" style="259" customWidth="1"/>
    <col min="8706" max="8706" width="73.33203125" style="259" customWidth="1"/>
    <col min="8707" max="8707" width="31.44140625" style="259" customWidth="1"/>
    <col min="8708" max="8959" width="9.109375" style="259"/>
    <col min="8960" max="8961" width="20.6640625" style="259" customWidth="1"/>
    <col min="8962" max="8962" width="73.33203125" style="259" customWidth="1"/>
    <col min="8963" max="8963" width="31.44140625" style="259" customWidth="1"/>
    <col min="8964" max="9215" width="9.109375" style="259"/>
    <col min="9216" max="9217" width="20.6640625" style="259" customWidth="1"/>
    <col min="9218" max="9218" width="73.33203125" style="259" customWidth="1"/>
    <col min="9219" max="9219" width="31.44140625" style="259" customWidth="1"/>
    <col min="9220" max="9471" width="9.109375" style="259"/>
    <col min="9472" max="9473" width="20.6640625" style="259" customWidth="1"/>
    <col min="9474" max="9474" width="73.33203125" style="259" customWidth="1"/>
    <col min="9475" max="9475" width="31.44140625" style="259" customWidth="1"/>
    <col min="9476" max="9727" width="9.109375" style="259"/>
    <col min="9728" max="9729" width="20.6640625" style="259" customWidth="1"/>
    <col min="9730" max="9730" width="73.33203125" style="259" customWidth="1"/>
    <col min="9731" max="9731" width="31.44140625" style="259" customWidth="1"/>
    <col min="9732" max="9983" width="9.109375" style="259"/>
    <col min="9984" max="9985" width="20.6640625" style="259" customWidth="1"/>
    <col min="9986" max="9986" width="73.33203125" style="259" customWidth="1"/>
    <col min="9987" max="9987" width="31.44140625" style="259" customWidth="1"/>
    <col min="9988" max="10239" width="9.109375" style="259"/>
    <col min="10240" max="10241" width="20.6640625" style="259" customWidth="1"/>
    <col min="10242" max="10242" width="73.33203125" style="259" customWidth="1"/>
    <col min="10243" max="10243" width="31.44140625" style="259" customWidth="1"/>
    <col min="10244" max="10495" width="9.109375" style="259"/>
    <col min="10496" max="10497" width="20.6640625" style="259" customWidth="1"/>
    <col min="10498" max="10498" width="73.33203125" style="259" customWidth="1"/>
    <col min="10499" max="10499" width="31.44140625" style="259" customWidth="1"/>
    <col min="10500" max="10751" width="9.109375" style="259"/>
    <col min="10752" max="10753" width="20.6640625" style="259" customWidth="1"/>
    <col min="10754" max="10754" width="73.33203125" style="259" customWidth="1"/>
    <col min="10755" max="10755" width="31.44140625" style="259" customWidth="1"/>
    <col min="10756" max="11007" width="9.109375" style="259"/>
    <col min="11008" max="11009" width="20.6640625" style="259" customWidth="1"/>
    <col min="11010" max="11010" width="73.33203125" style="259" customWidth="1"/>
    <col min="11011" max="11011" width="31.44140625" style="259" customWidth="1"/>
    <col min="11012" max="11263" width="9.109375" style="259"/>
    <col min="11264" max="11265" width="20.6640625" style="259" customWidth="1"/>
    <col min="11266" max="11266" width="73.33203125" style="259" customWidth="1"/>
    <col min="11267" max="11267" width="31.44140625" style="259" customWidth="1"/>
    <col min="11268" max="11519" width="9.109375" style="259"/>
    <col min="11520" max="11521" width="20.6640625" style="259" customWidth="1"/>
    <col min="11522" max="11522" width="73.33203125" style="259" customWidth="1"/>
    <col min="11523" max="11523" width="31.44140625" style="259" customWidth="1"/>
    <col min="11524" max="11775" width="9.109375" style="259"/>
    <col min="11776" max="11777" width="20.6640625" style="259" customWidth="1"/>
    <col min="11778" max="11778" width="73.33203125" style="259" customWidth="1"/>
    <col min="11779" max="11779" width="31.44140625" style="259" customWidth="1"/>
    <col min="11780" max="12031" width="9.109375" style="259"/>
    <col min="12032" max="12033" width="20.6640625" style="259" customWidth="1"/>
    <col min="12034" max="12034" width="73.33203125" style="259" customWidth="1"/>
    <col min="12035" max="12035" width="31.44140625" style="259" customWidth="1"/>
    <col min="12036" max="12287" width="9.109375" style="259"/>
    <col min="12288" max="12289" width="20.6640625" style="259" customWidth="1"/>
    <col min="12290" max="12290" width="73.33203125" style="259" customWidth="1"/>
    <col min="12291" max="12291" width="31.44140625" style="259" customWidth="1"/>
    <col min="12292" max="12543" width="9.109375" style="259"/>
    <col min="12544" max="12545" width="20.6640625" style="259" customWidth="1"/>
    <col min="12546" max="12546" width="73.33203125" style="259" customWidth="1"/>
    <col min="12547" max="12547" width="31.44140625" style="259" customWidth="1"/>
    <col min="12548" max="12799" width="9.109375" style="259"/>
    <col min="12800" max="12801" width="20.6640625" style="259" customWidth="1"/>
    <col min="12802" max="12802" width="73.33203125" style="259" customWidth="1"/>
    <col min="12803" max="12803" width="31.44140625" style="259" customWidth="1"/>
    <col min="12804" max="13055" width="9.109375" style="259"/>
    <col min="13056" max="13057" width="20.6640625" style="259" customWidth="1"/>
    <col min="13058" max="13058" width="73.33203125" style="259" customWidth="1"/>
    <col min="13059" max="13059" width="31.44140625" style="259" customWidth="1"/>
    <col min="13060" max="13311" width="9.109375" style="259"/>
    <col min="13312" max="13313" width="20.6640625" style="259" customWidth="1"/>
    <col min="13314" max="13314" width="73.33203125" style="259" customWidth="1"/>
    <col min="13315" max="13315" width="31.44140625" style="259" customWidth="1"/>
    <col min="13316" max="13567" width="9.109375" style="259"/>
    <col min="13568" max="13569" width="20.6640625" style="259" customWidth="1"/>
    <col min="13570" max="13570" width="73.33203125" style="259" customWidth="1"/>
    <col min="13571" max="13571" width="31.44140625" style="259" customWidth="1"/>
    <col min="13572" max="13823" width="9.109375" style="259"/>
    <col min="13824" max="13825" width="20.6640625" style="259" customWidth="1"/>
    <col min="13826" max="13826" width="73.33203125" style="259" customWidth="1"/>
    <col min="13827" max="13827" width="31.44140625" style="259" customWidth="1"/>
    <col min="13828" max="14079" width="9.109375" style="259"/>
    <col min="14080" max="14081" width="20.6640625" style="259" customWidth="1"/>
    <col min="14082" max="14082" width="73.33203125" style="259" customWidth="1"/>
    <col min="14083" max="14083" width="31.44140625" style="259" customWidth="1"/>
    <col min="14084" max="14335" width="9.109375" style="259"/>
    <col min="14336" max="14337" width="20.6640625" style="259" customWidth="1"/>
    <col min="14338" max="14338" width="73.33203125" style="259" customWidth="1"/>
    <col min="14339" max="14339" width="31.44140625" style="259" customWidth="1"/>
    <col min="14340" max="14591" width="9.109375" style="259"/>
    <col min="14592" max="14593" width="20.6640625" style="259" customWidth="1"/>
    <col min="14594" max="14594" width="73.33203125" style="259" customWidth="1"/>
    <col min="14595" max="14595" width="31.44140625" style="259" customWidth="1"/>
    <col min="14596" max="14847" width="9.109375" style="259"/>
    <col min="14848" max="14849" width="20.6640625" style="259" customWidth="1"/>
    <col min="14850" max="14850" width="73.33203125" style="259" customWidth="1"/>
    <col min="14851" max="14851" width="31.44140625" style="259" customWidth="1"/>
    <col min="14852" max="15103" width="9.109375" style="259"/>
    <col min="15104" max="15105" width="20.6640625" style="259" customWidth="1"/>
    <col min="15106" max="15106" width="73.33203125" style="259" customWidth="1"/>
    <col min="15107" max="15107" width="31.44140625" style="259" customWidth="1"/>
    <col min="15108" max="15359" width="9.109375" style="259"/>
    <col min="15360" max="15361" width="20.6640625" style="259" customWidth="1"/>
    <col min="15362" max="15362" width="73.33203125" style="259" customWidth="1"/>
    <col min="15363" max="15363" width="31.44140625" style="259" customWidth="1"/>
    <col min="15364" max="15615" width="9.109375" style="259"/>
    <col min="15616" max="15617" width="20.6640625" style="259" customWidth="1"/>
    <col min="15618" max="15618" width="73.33203125" style="259" customWidth="1"/>
    <col min="15619" max="15619" width="31.44140625" style="259" customWidth="1"/>
    <col min="15620" max="15871" width="9.109375" style="259"/>
    <col min="15872" max="15873" width="20.6640625" style="259" customWidth="1"/>
    <col min="15874" max="15874" width="73.33203125" style="259" customWidth="1"/>
    <col min="15875" max="15875" width="31.44140625" style="259" customWidth="1"/>
    <col min="15876" max="16127" width="9.109375" style="259"/>
    <col min="16128" max="16129" width="20.6640625" style="259" customWidth="1"/>
    <col min="16130" max="16130" width="73.33203125" style="259" customWidth="1"/>
    <col min="16131" max="16131" width="31.44140625" style="259" customWidth="1"/>
    <col min="16132" max="16384" width="9.109375" style="259"/>
  </cols>
  <sheetData>
    <row r="1" spans="1:3" x14ac:dyDescent="0.3">
      <c r="A1" s="258"/>
      <c r="C1" s="258" t="s">
        <v>497</v>
      </c>
    </row>
    <row r="2" spans="1:3" x14ac:dyDescent="0.3">
      <c r="C2" s="258" t="s">
        <v>780</v>
      </c>
    </row>
    <row r="3" spans="1:3" ht="17.25" customHeight="1" x14ac:dyDescent="0.3">
      <c r="C3" s="258" t="s">
        <v>185</v>
      </c>
    </row>
    <row r="4" spans="1:3" ht="18" customHeight="1" x14ac:dyDescent="0.3">
      <c r="C4" s="258" t="s">
        <v>1031</v>
      </c>
    </row>
    <row r="5" spans="1:3" x14ac:dyDescent="0.3">
      <c r="A5" s="909" t="s">
        <v>781</v>
      </c>
      <c r="B5" s="910"/>
      <c r="C5" s="910"/>
    </row>
    <row r="6" spans="1:3" x14ac:dyDescent="0.3">
      <c r="A6" s="911" t="s">
        <v>1</v>
      </c>
      <c r="B6" s="910"/>
      <c r="C6" s="910"/>
    </row>
    <row r="7" spans="1:3" x14ac:dyDescent="0.3">
      <c r="A7" s="910" t="s">
        <v>2</v>
      </c>
      <c r="B7" s="910"/>
      <c r="C7" s="910"/>
    </row>
    <row r="8" spans="1:3" ht="21.9" customHeight="1" x14ac:dyDescent="0.3">
      <c r="A8" s="261" t="s">
        <v>498</v>
      </c>
    </row>
    <row r="9" spans="1:3" ht="16.2" thickBot="1" x14ac:dyDescent="0.35">
      <c r="C9" s="260" t="s">
        <v>499</v>
      </c>
    </row>
    <row r="10" spans="1:3" ht="47.25" customHeight="1" x14ac:dyDescent="0.3">
      <c r="A10" s="629" t="s">
        <v>500</v>
      </c>
      <c r="B10" s="630" t="s">
        <v>501</v>
      </c>
      <c r="C10" s="631" t="s">
        <v>10</v>
      </c>
    </row>
    <row r="11" spans="1:3" x14ac:dyDescent="0.3">
      <c r="A11" s="632">
        <v>1</v>
      </c>
      <c r="B11" s="262">
        <v>2</v>
      </c>
      <c r="C11" s="633">
        <v>3</v>
      </c>
    </row>
    <row r="12" spans="1:3" x14ac:dyDescent="0.3">
      <c r="A12" s="912" t="s">
        <v>502</v>
      </c>
      <c r="B12" s="913"/>
      <c r="C12" s="914"/>
    </row>
    <row r="13" spans="1:3" x14ac:dyDescent="0.3">
      <c r="A13" s="634" t="s">
        <v>329</v>
      </c>
      <c r="B13" s="627" t="s">
        <v>503</v>
      </c>
      <c r="C13" s="635">
        <f>C14</f>
        <v>51554900</v>
      </c>
    </row>
    <row r="14" spans="1:3" x14ac:dyDescent="0.3">
      <c r="A14" s="636" t="s">
        <v>504</v>
      </c>
      <c r="B14" s="628" t="s">
        <v>505</v>
      </c>
      <c r="C14" s="637">
        <f>48655900+2899000</f>
        <v>51554900</v>
      </c>
    </row>
    <row r="15" spans="1:3" ht="46.8" x14ac:dyDescent="0.3">
      <c r="A15" s="636">
        <v>41035500</v>
      </c>
      <c r="B15" s="75" t="s">
        <v>830</v>
      </c>
      <c r="C15" s="635">
        <f>C16</f>
        <v>1254375</v>
      </c>
    </row>
    <row r="16" spans="1:3" x14ac:dyDescent="0.3">
      <c r="A16" s="636" t="s">
        <v>504</v>
      </c>
      <c r="B16" s="628" t="s">
        <v>505</v>
      </c>
      <c r="C16" s="740">
        <v>1254375</v>
      </c>
    </row>
    <row r="17" spans="1:6" ht="55.95" customHeight="1" x14ac:dyDescent="0.3">
      <c r="A17" s="634" t="s">
        <v>506</v>
      </c>
      <c r="B17" s="71" t="s">
        <v>334</v>
      </c>
      <c r="C17" s="635">
        <f>C18</f>
        <v>1466400</v>
      </c>
    </row>
    <row r="18" spans="1:6" x14ac:dyDescent="0.3">
      <c r="A18" s="636" t="s">
        <v>507</v>
      </c>
      <c r="B18" s="628" t="s">
        <v>508</v>
      </c>
      <c r="C18" s="637">
        <f>836700+629700</f>
        <v>1466400</v>
      </c>
    </row>
    <row r="19" spans="1:6" ht="31.2" x14ac:dyDescent="0.3">
      <c r="A19" s="634" t="s">
        <v>509</v>
      </c>
      <c r="B19" s="71" t="s">
        <v>337</v>
      </c>
      <c r="C19" s="635">
        <f>C20</f>
        <v>784740</v>
      </c>
    </row>
    <row r="20" spans="1:6" x14ac:dyDescent="0.3">
      <c r="A20" s="636" t="s">
        <v>507</v>
      </c>
      <c r="B20" s="628" t="s">
        <v>508</v>
      </c>
      <c r="C20" s="637">
        <v>784740</v>
      </c>
    </row>
    <row r="21" spans="1:6" ht="46.8" x14ac:dyDescent="0.3">
      <c r="A21" s="634" t="s">
        <v>510</v>
      </c>
      <c r="B21" s="71" t="s">
        <v>339</v>
      </c>
      <c r="C21" s="635">
        <f>C22</f>
        <v>619585</v>
      </c>
    </row>
    <row r="22" spans="1:6" x14ac:dyDescent="0.3">
      <c r="A22" s="636" t="s">
        <v>507</v>
      </c>
      <c r="B22" s="628" t="s">
        <v>508</v>
      </c>
      <c r="C22" s="637">
        <v>619585</v>
      </c>
    </row>
    <row r="23" spans="1:6" ht="46.8" x14ac:dyDescent="0.3">
      <c r="A23" s="634">
        <v>41051400</v>
      </c>
      <c r="B23" s="791" t="s">
        <v>340</v>
      </c>
      <c r="C23" s="635">
        <f>C24</f>
        <v>666841</v>
      </c>
    </row>
    <row r="24" spans="1:6" x14ac:dyDescent="0.3">
      <c r="A24" s="636" t="s">
        <v>507</v>
      </c>
      <c r="B24" s="628" t="s">
        <v>508</v>
      </c>
      <c r="C24" s="637">
        <v>666841</v>
      </c>
    </row>
    <row r="25" spans="1:6" x14ac:dyDescent="0.3">
      <c r="A25" s="634" t="s">
        <v>511</v>
      </c>
      <c r="B25" s="627" t="s">
        <v>342</v>
      </c>
      <c r="C25" s="635">
        <f>C26+C27+C46+C66+C43+C81+C95</f>
        <v>5063782</v>
      </c>
      <c r="D25" s="490">
        <f>C25-'[1]Дод 1'!D93</f>
        <v>2208482</v>
      </c>
    </row>
    <row r="26" spans="1:6" x14ac:dyDescent="0.3">
      <c r="A26" s="638">
        <v>11314200000</v>
      </c>
      <c r="B26" s="628" t="s">
        <v>660</v>
      </c>
      <c r="C26" s="639"/>
    </row>
    <row r="27" spans="1:6" x14ac:dyDescent="0.3">
      <c r="A27" s="634" t="s">
        <v>656</v>
      </c>
      <c r="B27" s="771" t="s">
        <v>645</v>
      </c>
      <c r="C27" s="635">
        <f>C31+C29+C28</f>
        <v>1331459</v>
      </c>
    </row>
    <row r="28" spans="1:6" ht="31.2" x14ac:dyDescent="0.3">
      <c r="A28" s="795" t="s">
        <v>679</v>
      </c>
      <c r="B28" s="699" t="s">
        <v>696</v>
      </c>
      <c r="C28" s="702">
        <v>44143</v>
      </c>
      <c r="F28" s="796"/>
    </row>
    <row r="29" spans="1:6" ht="31.2" x14ac:dyDescent="0.3">
      <c r="A29" s="795" t="s">
        <v>679</v>
      </c>
      <c r="B29" s="699" t="s">
        <v>753</v>
      </c>
      <c r="C29" s="640">
        <f>C30</f>
        <v>200000</v>
      </c>
    </row>
    <row r="30" spans="1:6" x14ac:dyDescent="0.3">
      <c r="A30" s="700"/>
      <c r="B30" s="701" t="s">
        <v>680</v>
      </c>
      <c r="C30" s="640">
        <f>200000</f>
        <v>200000</v>
      </c>
    </row>
    <row r="31" spans="1:6" ht="31.2" x14ac:dyDescent="0.3">
      <c r="A31" s="795" t="s">
        <v>679</v>
      </c>
      <c r="B31" s="699" t="s">
        <v>755</v>
      </c>
      <c r="C31" s="702">
        <f>C32+C33+C34+C35+C36+C37+C39+C40+C41+C42</f>
        <v>1087316</v>
      </c>
    </row>
    <row r="32" spans="1:6" x14ac:dyDescent="0.3">
      <c r="A32" s="700"/>
      <c r="B32" s="701" t="s">
        <v>680</v>
      </c>
      <c r="C32" s="702">
        <f>96563+15000</f>
        <v>111563</v>
      </c>
    </row>
    <row r="33" spans="1:3" ht="31.2" x14ac:dyDescent="0.3">
      <c r="A33" s="700"/>
      <c r="B33" s="699" t="s">
        <v>682</v>
      </c>
      <c r="C33" s="702">
        <f>840410+10980+18300</f>
        <v>869690</v>
      </c>
    </row>
    <row r="34" spans="1:3" x14ac:dyDescent="0.3">
      <c r="A34" s="700"/>
      <c r="B34" s="701" t="s">
        <v>688</v>
      </c>
      <c r="C34" s="702">
        <v>5000</v>
      </c>
    </row>
    <row r="35" spans="1:3" x14ac:dyDescent="0.3">
      <c r="A35" s="700"/>
      <c r="B35" s="699" t="s">
        <v>689</v>
      </c>
      <c r="C35" s="702">
        <v>20000</v>
      </c>
    </row>
    <row r="36" spans="1:3" ht="31.2" x14ac:dyDescent="0.3">
      <c r="A36" s="700"/>
      <c r="B36" s="699" t="s">
        <v>819</v>
      </c>
      <c r="C36" s="702">
        <f>12000+6036</f>
        <v>18036</v>
      </c>
    </row>
    <row r="37" spans="1:3" ht="31.2" x14ac:dyDescent="0.3">
      <c r="A37" s="700"/>
      <c r="B37" s="699" t="s">
        <v>691</v>
      </c>
      <c r="C37" s="702">
        <v>1800</v>
      </c>
    </row>
    <row r="38" spans="1:3" hidden="1" x14ac:dyDescent="0.3">
      <c r="A38" s="700"/>
      <c r="B38" s="701"/>
      <c r="C38" s="702"/>
    </row>
    <row r="39" spans="1:3" ht="31.2" x14ac:dyDescent="0.3">
      <c r="A39" s="700"/>
      <c r="B39" s="699" t="s">
        <v>686</v>
      </c>
      <c r="C39" s="702">
        <v>2000</v>
      </c>
    </row>
    <row r="40" spans="1:3" x14ac:dyDescent="0.3">
      <c r="A40" s="700"/>
      <c r="B40" s="701" t="s">
        <v>692</v>
      </c>
      <c r="C40" s="702">
        <v>15000</v>
      </c>
    </row>
    <row r="41" spans="1:3" x14ac:dyDescent="0.3">
      <c r="A41" s="700"/>
      <c r="B41" s="701" t="s">
        <v>693</v>
      </c>
      <c r="C41" s="702">
        <v>5000</v>
      </c>
    </row>
    <row r="42" spans="1:3" x14ac:dyDescent="0.3">
      <c r="A42" s="700"/>
      <c r="B42" s="701" t="s">
        <v>694</v>
      </c>
      <c r="C42" s="702">
        <f>7527+31700</f>
        <v>39227</v>
      </c>
    </row>
    <row r="43" spans="1:3" x14ac:dyDescent="0.3">
      <c r="A43" s="703" t="s">
        <v>657</v>
      </c>
      <c r="B43" s="704" t="s">
        <v>732</v>
      </c>
      <c r="C43" s="705">
        <f>C44</f>
        <v>200000</v>
      </c>
    </row>
    <row r="44" spans="1:3" ht="31.2" x14ac:dyDescent="0.3">
      <c r="A44" s="795" t="s">
        <v>679</v>
      </c>
      <c r="B44" s="699" t="s">
        <v>753</v>
      </c>
      <c r="C44" s="702">
        <f>C45</f>
        <v>200000</v>
      </c>
    </row>
    <row r="45" spans="1:3" x14ac:dyDescent="0.3">
      <c r="A45" s="700"/>
      <c r="B45" s="701" t="s">
        <v>681</v>
      </c>
      <c r="C45" s="702">
        <v>200000</v>
      </c>
    </row>
    <row r="46" spans="1:3" x14ac:dyDescent="0.3">
      <c r="A46" s="641" t="s">
        <v>512</v>
      </c>
      <c r="B46" s="704" t="s">
        <v>513</v>
      </c>
      <c r="C46" s="706">
        <f>C47+C50+C52</f>
        <v>612605</v>
      </c>
    </row>
    <row r="47" spans="1:3" ht="31.2" x14ac:dyDescent="0.3">
      <c r="A47" s="795" t="s">
        <v>679</v>
      </c>
      <c r="B47" s="699" t="s">
        <v>696</v>
      </c>
      <c r="C47" s="640">
        <v>30000</v>
      </c>
    </row>
    <row r="48" spans="1:3" hidden="1" x14ac:dyDescent="0.3">
      <c r="A48" s="707"/>
      <c r="B48" s="701"/>
      <c r="C48" s="640"/>
    </row>
    <row r="49" spans="1:3" hidden="1" x14ac:dyDescent="0.3">
      <c r="A49" s="795"/>
      <c r="B49" s="701"/>
      <c r="C49" s="640"/>
    </row>
    <row r="50" spans="1:3" ht="31.2" x14ac:dyDescent="0.3">
      <c r="A50" s="795" t="s">
        <v>679</v>
      </c>
      <c r="B50" s="699" t="s">
        <v>753</v>
      </c>
      <c r="C50" s="640">
        <f>C51</f>
        <v>240000</v>
      </c>
    </row>
    <row r="51" spans="1:3" x14ac:dyDescent="0.3">
      <c r="A51" s="795"/>
      <c r="B51" s="701" t="s">
        <v>680</v>
      </c>
      <c r="C51" s="640">
        <f>200000+40000</f>
        <v>240000</v>
      </c>
    </row>
    <row r="52" spans="1:3" ht="31.2" x14ac:dyDescent="0.3">
      <c r="A52" s="795" t="s">
        <v>679</v>
      </c>
      <c r="B52" s="699" t="s">
        <v>755</v>
      </c>
      <c r="C52" s="640">
        <f>SUM(C53:C63)</f>
        <v>342605</v>
      </c>
    </row>
    <row r="53" spans="1:3" x14ac:dyDescent="0.3">
      <c r="A53" s="795"/>
      <c r="B53" s="701" t="s">
        <v>680</v>
      </c>
      <c r="C53" s="640">
        <v>9050</v>
      </c>
    </row>
    <row r="54" spans="1:3" ht="40.5" customHeight="1" x14ac:dyDescent="0.3">
      <c r="A54" s="795"/>
      <c r="B54" s="699" t="s">
        <v>682</v>
      </c>
      <c r="C54" s="640">
        <f>189950+68000</f>
        <v>257950</v>
      </c>
    </row>
    <row r="55" spans="1:3" x14ac:dyDescent="0.3">
      <c r="A55" s="795"/>
      <c r="B55" s="701" t="s">
        <v>687</v>
      </c>
      <c r="C55" s="640">
        <v>1000</v>
      </c>
    </row>
    <row r="56" spans="1:3" x14ac:dyDescent="0.3">
      <c r="A56" s="795"/>
      <c r="B56" s="701" t="s">
        <v>688</v>
      </c>
      <c r="C56" s="640">
        <v>5000</v>
      </c>
    </row>
    <row r="57" spans="1:3" x14ac:dyDescent="0.3">
      <c r="A57" s="795"/>
      <c r="B57" s="699" t="s">
        <v>689</v>
      </c>
      <c r="C57" s="640">
        <v>5000</v>
      </c>
    </row>
    <row r="58" spans="1:3" ht="31.2" x14ac:dyDescent="0.3">
      <c r="A58" s="795"/>
      <c r="B58" s="699" t="s">
        <v>690</v>
      </c>
      <c r="C58" s="640">
        <f>3000+3000</f>
        <v>6000</v>
      </c>
    </row>
    <row r="59" spans="1:3" ht="31.2" x14ac:dyDescent="0.3">
      <c r="A59" s="795"/>
      <c r="B59" s="699" t="s">
        <v>691</v>
      </c>
      <c r="C59" s="640">
        <v>1000</v>
      </c>
    </row>
    <row r="60" spans="1:3" ht="31.2" x14ac:dyDescent="0.3">
      <c r="A60" s="795"/>
      <c r="B60" s="699" t="s">
        <v>686</v>
      </c>
      <c r="C60" s="640">
        <v>1000</v>
      </c>
    </row>
    <row r="61" spans="1:3" x14ac:dyDescent="0.3">
      <c r="A61" s="795"/>
      <c r="B61" s="701" t="s">
        <v>760</v>
      </c>
      <c r="C61" s="640">
        <v>1200</v>
      </c>
    </row>
    <row r="62" spans="1:3" ht="46.8" x14ac:dyDescent="0.3">
      <c r="A62" s="795"/>
      <c r="B62" s="699" t="s">
        <v>761</v>
      </c>
      <c r="C62" s="640">
        <v>5405</v>
      </c>
    </row>
    <row r="63" spans="1:3" x14ac:dyDescent="0.3">
      <c r="A63" s="795"/>
      <c r="B63" s="701" t="s">
        <v>895</v>
      </c>
      <c r="C63" s="640">
        <v>50000</v>
      </c>
    </row>
    <row r="64" spans="1:3" hidden="1" x14ac:dyDescent="0.3">
      <c r="A64" s="795"/>
      <c r="B64" s="701"/>
      <c r="C64" s="640"/>
    </row>
    <row r="65" spans="1:6" hidden="1" x14ac:dyDescent="0.3">
      <c r="A65" s="795"/>
      <c r="B65" s="701"/>
      <c r="C65" s="640"/>
    </row>
    <row r="66" spans="1:6" x14ac:dyDescent="0.3">
      <c r="A66" s="641" t="s">
        <v>514</v>
      </c>
      <c r="B66" s="704" t="s">
        <v>515</v>
      </c>
      <c r="C66" s="706">
        <f>C67+C68+C69+C71</f>
        <v>1706018</v>
      </c>
      <c r="D66" s="592"/>
    </row>
    <row r="67" spans="1:6" ht="27.6" customHeight="1" x14ac:dyDescent="0.3">
      <c r="A67" s="795" t="s">
        <v>679</v>
      </c>
      <c r="B67" s="699" t="s">
        <v>696</v>
      </c>
      <c r="C67" s="640">
        <v>84600</v>
      </c>
      <c r="D67" s="605"/>
    </row>
    <row r="68" spans="1:6" ht="31.2" x14ac:dyDescent="0.3">
      <c r="A68" s="795"/>
      <c r="B68" s="699" t="s">
        <v>695</v>
      </c>
      <c r="C68" s="640">
        <v>244500</v>
      </c>
      <c r="D68" s="605"/>
    </row>
    <row r="69" spans="1:6" ht="31.2" x14ac:dyDescent="0.3">
      <c r="A69" s="795" t="s">
        <v>679</v>
      </c>
      <c r="B69" s="699" t="s">
        <v>753</v>
      </c>
      <c r="C69" s="640">
        <f>C70</f>
        <v>200000</v>
      </c>
    </row>
    <row r="70" spans="1:6" x14ac:dyDescent="0.3">
      <c r="A70" s="795"/>
      <c r="B70" s="701" t="s">
        <v>680</v>
      </c>
      <c r="C70" s="640">
        <f>600000-400000</f>
        <v>200000</v>
      </c>
    </row>
    <row r="71" spans="1:6" ht="31.2" x14ac:dyDescent="0.3">
      <c r="A71" s="795" t="s">
        <v>679</v>
      </c>
      <c r="B71" s="699" t="s">
        <v>755</v>
      </c>
      <c r="C71" s="640">
        <f>C72+C73+C74+C75+C76+C77+C78+C80+C79</f>
        <v>1176918</v>
      </c>
      <c r="F71" s="259">
        <v>1301485</v>
      </c>
    </row>
    <row r="72" spans="1:6" x14ac:dyDescent="0.3">
      <c r="A72" s="795"/>
      <c r="B72" s="701" t="s">
        <v>680</v>
      </c>
      <c r="C72" s="640">
        <f>260000+20000+150000</f>
        <v>430000</v>
      </c>
      <c r="F72" s="490">
        <f>410000-C72</f>
        <v>-20000</v>
      </c>
    </row>
    <row r="73" spans="1:6" ht="31.2" x14ac:dyDescent="0.3">
      <c r="A73" s="795"/>
      <c r="B73" s="699" t="s">
        <v>682</v>
      </c>
      <c r="C73" s="640">
        <f>330000+80000+200000</f>
        <v>610000</v>
      </c>
      <c r="F73" s="490">
        <f>530000-C73</f>
        <v>-80000</v>
      </c>
    </row>
    <row r="74" spans="1:6" ht="31.2" x14ac:dyDescent="0.3">
      <c r="A74" s="795"/>
      <c r="B74" s="699" t="s">
        <v>690</v>
      </c>
      <c r="C74" s="640">
        <f>15000+20433</f>
        <v>35433</v>
      </c>
      <c r="F74" s="490">
        <f>60000-C74</f>
        <v>24567</v>
      </c>
    </row>
    <row r="75" spans="1:6" ht="31.2" x14ac:dyDescent="0.3">
      <c r="A75" s="795"/>
      <c r="B75" s="699" t="s">
        <v>686</v>
      </c>
      <c r="C75" s="640">
        <v>3000</v>
      </c>
      <c r="F75" s="259">
        <f>1050000+120433+6485</f>
        <v>1176918</v>
      </c>
    </row>
    <row r="76" spans="1:6" x14ac:dyDescent="0.3">
      <c r="A76" s="795"/>
      <c r="B76" s="701" t="s">
        <v>688</v>
      </c>
      <c r="C76" s="640">
        <v>7000</v>
      </c>
      <c r="F76" s="490">
        <f>C71-F75</f>
        <v>0</v>
      </c>
    </row>
    <row r="77" spans="1:6" x14ac:dyDescent="0.3">
      <c r="A77" s="795"/>
      <c r="B77" s="699" t="s">
        <v>689</v>
      </c>
      <c r="C77" s="640">
        <v>30000</v>
      </c>
    </row>
    <row r="78" spans="1:6" ht="31.2" x14ac:dyDescent="0.3">
      <c r="A78" s="795"/>
      <c r="B78" s="699" t="s">
        <v>691</v>
      </c>
      <c r="C78" s="640">
        <v>5000</v>
      </c>
    </row>
    <row r="79" spans="1:6" ht="46.8" x14ac:dyDescent="0.3">
      <c r="A79" s="803"/>
      <c r="B79" s="699" t="s">
        <v>761</v>
      </c>
      <c r="C79" s="640">
        <v>6485</v>
      </c>
    </row>
    <row r="80" spans="1:6" x14ac:dyDescent="0.3">
      <c r="A80" s="795"/>
      <c r="B80" s="701" t="s">
        <v>895</v>
      </c>
      <c r="C80" s="640">
        <v>50000</v>
      </c>
    </row>
    <row r="81" spans="1:5" x14ac:dyDescent="0.3">
      <c r="A81" s="641">
        <v>11505000000</v>
      </c>
      <c r="B81" s="704" t="s">
        <v>733</v>
      </c>
      <c r="C81" s="706">
        <f>C83+C82</f>
        <v>193700</v>
      </c>
    </row>
    <row r="82" spans="1:5" ht="31.2" x14ac:dyDescent="0.3">
      <c r="A82" s="795" t="s">
        <v>679</v>
      </c>
      <c r="B82" s="699" t="s">
        <v>696</v>
      </c>
      <c r="C82" s="640">
        <v>6700</v>
      </c>
      <c r="E82" s="490">
        <f>C82+C67+C47+C28</f>
        <v>165443</v>
      </c>
    </row>
    <row r="83" spans="1:5" ht="31.2" x14ac:dyDescent="0.3">
      <c r="A83" s="795" t="s">
        <v>679</v>
      </c>
      <c r="B83" s="699" t="s">
        <v>755</v>
      </c>
      <c r="C83" s="702">
        <f>C84+C85+C86+C87+C88+C89+C91+C92+C93+C94</f>
        <v>187000</v>
      </c>
      <c r="E83" s="490">
        <f>C83+C31+C52+C71</f>
        <v>2793839</v>
      </c>
    </row>
    <row r="84" spans="1:5" x14ac:dyDescent="0.3">
      <c r="A84" s="795"/>
      <c r="B84" s="701" t="s">
        <v>680</v>
      </c>
      <c r="C84" s="702">
        <v>5344</v>
      </c>
      <c r="E84" s="490">
        <f>C69+C50+C44+C29</f>
        <v>840000</v>
      </c>
    </row>
    <row r="85" spans="1:5" ht="31.2" x14ac:dyDescent="0.3">
      <c r="A85" s="795"/>
      <c r="B85" s="699" t="s">
        <v>740</v>
      </c>
      <c r="C85" s="702">
        <v>158750</v>
      </c>
      <c r="E85" s="490">
        <f>C68</f>
        <v>244500</v>
      </c>
    </row>
    <row r="86" spans="1:5" x14ac:dyDescent="0.3">
      <c r="A86" s="795"/>
      <c r="B86" s="701" t="s">
        <v>688</v>
      </c>
      <c r="C86" s="702">
        <v>500</v>
      </c>
    </row>
    <row r="87" spans="1:5" x14ac:dyDescent="0.3">
      <c r="A87" s="795"/>
      <c r="B87" s="699" t="s">
        <v>689</v>
      </c>
      <c r="C87" s="702">
        <v>1000</v>
      </c>
    </row>
    <row r="88" spans="1:5" ht="31.2" x14ac:dyDescent="0.3">
      <c r="A88" s="795"/>
      <c r="B88" s="699" t="s">
        <v>690</v>
      </c>
      <c r="C88" s="702">
        <v>9600</v>
      </c>
    </row>
    <row r="89" spans="1:5" ht="31.2" x14ac:dyDescent="0.3">
      <c r="A89" s="795"/>
      <c r="B89" s="699" t="s">
        <v>691</v>
      </c>
      <c r="C89" s="702">
        <v>9600</v>
      </c>
    </row>
    <row r="90" spans="1:5" hidden="1" x14ac:dyDescent="0.3">
      <c r="A90" s="795"/>
      <c r="B90" s="701"/>
      <c r="C90" s="702"/>
    </row>
    <row r="91" spans="1:5" ht="31.2" hidden="1" x14ac:dyDescent="0.3">
      <c r="A91" s="795"/>
      <c r="B91" s="699" t="s">
        <v>686</v>
      </c>
      <c r="C91" s="702"/>
    </row>
    <row r="92" spans="1:5" x14ac:dyDescent="0.3">
      <c r="A92" s="795"/>
      <c r="B92" s="701" t="s">
        <v>692</v>
      </c>
      <c r="C92" s="702">
        <v>1500</v>
      </c>
    </row>
    <row r="93" spans="1:5" x14ac:dyDescent="0.3">
      <c r="A93" s="795"/>
      <c r="B93" s="701" t="s">
        <v>693</v>
      </c>
      <c r="C93" s="702">
        <v>200</v>
      </c>
    </row>
    <row r="94" spans="1:5" x14ac:dyDescent="0.3">
      <c r="A94" s="795"/>
      <c r="B94" s="701" t="s">
        <v>694</v>
      </c>
      <c r="C94" s="702">
        <v>506</v>
      </c>
    </row>
    <row r="95" spans="1:5" x14ac:dyDescent="0.3">
      <c r="A95" s="703">
        <v>11314200000</v>
      </c>
      <c r="B95" s="704" t="s">
        <v>660</v>
      </c>
      <c r="C95" s="705">
        <f>C96+C97</f>
        <v>1020000</v>
      </c>
    </row>
    <row r="96" spans="1:5" ht="31.2" x14ac:dyDescent="0.3">
      <c r="A96" s="795" t="s">
        <v>679</v>
      </c>
      <c r="B96" s="699" t="s">
        <v>762</v>
      </c>
      <c r="C96" s="640">
        <v>20000</v>
      </c>
    </row>
    <row r="97" spans="1:3" ht="31.2" x14ac:dyDescent="0.3">
      <c r="A97" s="795"/>
      <c r="B97" s="699" t="s">
        <v>753</v>
      </c>
      <c r="C97" s="640">
        <f>C98+C99+C100+C101</f>
        <v>1000000</v>
      </c>
    </row>
    <row r="98" spans="1:3" x14ac:dyDescent="0.3">
      <c r="A98" s="795"/>
      <c r="B98" s="699" t="s">
        <v>804</v>
      </c>
      <c r="C98" s="640">
        <f>750000-102980</f>
        <v>647020</v>
      </c>
    </row>
    <row r="99" spans="1:3" ht="31.2" x14ac:dyDescent="0.3">
      <c r="A99" s="795"/>
      <c r="B99" s="699" t="s">
        <v>805</v>
      </c>
      <c r="C99" s="640">
        <f>250000-24636</f>
        <v>225364</v>
      </c>
    </row>
    <row r="100" spans="1:3" ht="31.2" x14ac:dyDescent="0.3">
      <c r="A100" s="814"/>
      <c r="B100" s="699" t="s">
        <v>1056</v>
      </c>
      <c r="C100" s="640">
        <v>102980</v>
      </c>
    </row>
    <row r="101" spans="1:3" x14ac:dyDescent="0.3">
      <c r="A101" s="814"/>
      <c r="B101" s="699" t="s">
        <v>1059</v>
      </c>
      <c r="C101" s="640">
        <v>24636</v>
      </c>
    </row>
    <row r="102" spans="1:3" ht="46.8" x14ac:dyDescent="0.3">
      <c r="A102" s="703" t="s">
        <v>516</v>
      </c>
      <c r="B102" s="708" t="s">
        <v>517</v>
      </c>
      <c r="C102" s="705">
        <f>C103</f>
        <v>926700</v>
      </c>
    </row>
    <row r="103" spans="1:3" x14ac:dyDescent="0.3">
      <c r="A103" s="795" t="s">
        <v>507</v>
      </c>
      <c r="B103" s="701" t="s">
        <v>508</v>
      </c>
      <c r="C103" s="640">
        <f>617800+308900</f>
        <v>926700</v>
      </c>
    </row>
    <row r="104" spans="1:3" x14ac:dyDescent="0.3">
      <c r="A104" s="905" t="s">
        <v>518</v>
      </c>
      <c r="B104" s="906"/>
      <c r="C104" s="907"/>
    </row>
    <row r="105" spans="1:3" hidden="1" x14ac:dyDescent="0.3">
      <c r="A105" s="703" t="s">
        <v>329</v>
      </c>
      <c r="B105" s="709" t="s">
        <v>503</v>
      </c>
      <c r="C105" s="705">
        <v>0</v>
      </c>
    </row>
    <row r="106" spans="1:3" hidden="1" x14ac:dyDescent="0.3">
      <c r="A106" s="795" t="s">
        <v>504</v>
      </c>
      <c r="B106" s="710" t="s">
        <v>505</v>
      </c>
      <c r="C106" s="640">
        <v>0</v>
      </c>
    </row>
    <row r="107" spans="1:3" ht="62.4" hidden="1" x14ac:dyDescent="0.3">
      <c r="A107" s="703" t="s">
        <v>506</v>
      </c>
      <c r="B107" s="709" t="s">
        <v>334</v>
      </c>
      <c r="C107" s="705">
        <v>0</v>
      </c>
    </row>
    <row r="108" spans="1:3" hidden="1" x14ac:dyDescent="0.3">
      <c r="A108" s="795" t="s">
        <v>507</v>
      </c>
      <c r="B108" s="710" t="s">
        <v>508</v>
      </c>
      <c r="C108" s="640">
        <v>0</v>
      </c>
    </row>
    <row r="109" spans="1:3" ht="31.2" hidden="1" x14ac:dyDescent="0.3">
      <c r="A109" s="703" t="s">
        <v>509</v>
      </c>
      <c r="B109" s="709" t="s">
        <v>337</v>
      </c>
      <c r="C109" s="705">
        <v>0</v>
      </c>
    </row>
    <row r="110" spans="1:3" hidden="1" x14ac:dyDescent="0.3">
      <c r="A110" s="795" t="s">
        <v>507</v>
      </c>
      <c r="B110" s="710" t="s">
        <v>508</v>
      </c>
      <c r="C110" s="640">
        <v>0</v>
      </c>
    </row>
    <row r="111" spans="1:3" ht="46.8" hidden="1" x14ac:dyDescent="0.3">
      <c r="A111" s="703" t="s">
        <v>510</v>
      </c>
      <c r="B111" s="709" t="s">
        <v>339</v>
      </c>
      <c r="C111" s="705">
        <v>0</v>
      </c>
    </row>
    <row r="112" spans="1:3" hidden="1" x14ac:dyDescent="0.3">
      <c r="A112" s="795" t="s">
        <v>507</v>
      </c>
      <c r="B112" s="710" t="s">
        <v>508</v>
      </c>
      <c r="C112" s="640">
        <v>0</v>
      </c>
    </row>
    <row r="113" spans="1:3" x14ac:dyDescent="0.3">
      <c r="A113" s="703" t="s">
        <v>511</v>
      </c>
      <c r="B113" s="709" t="s">
        <v>342</v>
      </c>
      <c r="C113" s="705">
        <f>C114</f>
        <v>1259179</v>
      </c>
    </row>
    <row r="114" spans="1:3" x14ac:dyDescent="0.3">
      <c r="A114" s="700">
        <v>11314200000</v>
      </c>
      <c r="B114" s="701" t="s">
        <v>660</v>
      </c>
      <c r="C114" s="702">
        <v>1259179</v>
      </c>
    </row>
    <row r="115" spans="1:3" ht="31.2" x14ac:dyDescent="0.3">
      <c r="A115" s="795" t="s">
        <v>678</v>
      </c>
      <c r="B115" s="699" t="s">
        <v>753</v>
      </c>
      <c r="C115" s="702">
        <v>1259179</v>
      </c>
    </row>
    <row r="116" spans="1:3" ht="35.4" customHeight="1" x14ac:dyDescent="0.3">
      <c r="A116" s="795" t="s">
        <v>678</v>
      </c>
      <c r="B116" s="699" t="s">
        <v>754</v>
      </c>
      <c r="C116" s="702">
        <v>1259179</v>
      </c>
    </row>
    <row r="117" spans="1:3" ht="46.8" hidden="1" x14ac:dyDescent="0.3">
      <c r="A117" s="703" t="s">
        <v>516</v>
      </c>
      <c r="B117" s="709" t="s">
        <v>517</v>
      </c>
      <c r="C117" s="705">
        <v>0</v>
      </c>
    </row>
    <row r="118" spans="1:3" hidden="1" x14ac:dyDescent="0.3">
      <c r="A118" s="795" t="s">
        <v>507</v>
      </c>
      <c r="B118" s="710" t="s">
        <v>508</v>
      </c>
      <c r="C118" s="640">
        <v>0</v>
      </c>
    </row>
    <row r="119" spans="1:3" x14ac:dyDescent="0.3">
      <c r="A119" s="711" t="s">
        <v>183</v>
      </c>
      <c r="B119" s="712" t="s">
        <v>519</v>
      </c>
      <c r="C119" s="713">
        <f>C120+C121</f>
        <v>63596502</v>
      </c>
    </row>
    <row r="120" spans="1:3" x14ac:dyDescent="0.3">
      <c r="A120" s="711" t="s">
        <v>183</v>
      </c>
      <c r="B120" s="712" t="s">
        <v>494</v>
      </c>
      <c r="C120" s="713">
        <f>C13+C17+C19+C21+C25+C102+C15+C23</f>
        <v>62337323</v>
      </c>
    </row>
    <row r="121" spans="1:3" ht="16.2" thickBot="1" x14ac:dyDescent="0.35">
      <c r="A121" s="714" t="s">
        <v>183</v>
      </c>
      <c r="B121" s="715" t="s">
        <v>495</v>
      </c>
      <c r="C121" s="716">
        <f>C113</f>
        <v>1259179</v>
      </c>
    </row>
    <row r="122" spans="1:3" x14ac:dyDescent="0.3">
      <c r="A122" s="717"/>
      <c r="B122" s="717"/>
      <c r="C122" s="717"/>
    </row>
    <row r="123" spans="1:3" ht="21.9" customHeight="1" thickBot="1" x14ac:dyDescent="0.35">
      <c r="A123" s="741" t="s">
        <v>520</v>
      </c>
      <c r="B123" s="717"/>
      <c r="C123" s="718" t="s">
        <v>499</v>
      </c>
    </row>
    <row r="124" spans="1:3" ht="93.6" x14ac:dyDescent="0.3">
      <c r="A124" s="719" t="s">
        <v>521</v>
      </c>
      <c r="B124" s="720" t="s">
        <v>522</v>
      </c>
      <c r="C124" s="721" t="s">
        <v>10</v>
      </c>
    </row>
    <row r="125" spans="1:3" x14ac:dyDescent="0.3">
      <c r="A125" s="722">
        <v>1</v>
      </c>
      <c r="B125" s="723">
        <v>2</v>
      </c>
      <c r="C125" s="724">
        <v>4</v>
      </c>
    </row>
    <row r="126" spans="1:3" x14ac:dyDescent="0.3">
      <c r="A126" s="905" t="s">
        <v>502</v>
      </c>
      <c r="B126" s="906"/>
      <c r="C126" s="907"/>
    </row>
    <row r="127" spans="1:3" x14ac:dyDescent="0.3">
      <c r="A127" s="641" t="s">
        <v>727</v>
      </c>
      <c r="B127" s="742">
        <v>9800</v>
      </c>
      <c r="C127" s="794">
        <f>C128+C129+C130</f>
        <v>50000</v>
      </c>
    </row>
    <row r="128" spans="1:3" ht="53.4" x14ac:dyDescent="0.3">
      <c r="A128" s="641"/>
      <c r="B128" s="725" t="s">
        <v>1061</v>
      </c>
      <c r="C128" s="813">
        <v>10000</v>
      </c>
    </row>
    <row r="129" spans="1:3" ht="66.599999999999994" x14ac:dyDescent="0.3">
      <c r="A129" s="641"/>
      <c r="B129" s="725" t="s">
        <v>1060</v>
      </c>
      <c r="C129" s="813">
        <v>10000</v>
      </c>
    </row>
    <row r="130" spans="1:3" ht="79.8" x14ac:dyDescent="0.3">
      <c r="A130" s="641"/>
      <c r="B130" s="725" t="s">
        <v>1062</v>
      </c>
      <c r="C130" s="813">
        <v>30000</v>
      </c>
    </row>
    <row r="131" spans="1:3" ht="20.100000000000001" customHeight="1" x14ac:dyDescent="0.3">
      <c r="A131" s="908" t="s">
        <v>518</v>
      </c>
      <c r="B131" s="906"/>
      <c r="C131" s="907"/>
    </row>
    <row r="132" spans="1:3" ht="20.100000000000001" customHeight="1" x14ac:dyDescent="0.3">
      <c r="A132" s="641" t="s">
        <v>728</v>
      </c>
      <c r="B132" s="742">
        <v>9770</v>
      </c>
      <c r="C132" s="743">
        <f>C134+C135</f>
        <v>670000</v>
      </c>
    </row>
    <row r="133" spans="1:3" ht="20.100000000000001" customHeight="1" x14ac:dyDescent="0.3">
      <c r="A133" s="641" t="s">
        <v>507</v>
      </c>
      <c r="B133" s="704" t="s">
        <v>508</v>
      </c>
      <c r="C133" s="743">
        <f>C134</f>
        <v>620000</v>
      </c>
    </row>
    <row r="134" spans="1:3" ht="40.200000000000003" x14ac:dyDescent="0.3">
      <c r="A134" s="795"/>
      <c r="B134" s="725" t="s">
        <v>744</v>
      </c>
      <c r="C134" s="794">
        <f>600000+20000</f>
        <v>620000</v>
      </c>
    </row>
    <row r="135" spans="1:3" x14ac:dyDescent="0.3">
      <c r="A135" s="641">
        <v>11517000000</v>
      </c>
      <c r="B135" s="704" t="s">
        <v>778</v>
      </c>
      <c r="C135" s="794">
        <v>50000</v>
      </c>
    </row>
    <row r="136" spans="1:3" ht="53.4" x14ac:dyDescent="0.3">
      <c r="A136" s="795"/>
      <c r="B136" s="725" t="s">
        <v>779</v>
      </c>
      <c r="C136" s="794">
        <v>50000</v>
      </c>
    </row>
    <row r="137" spans="1:3" ht="20.100000000000001" customHeight="1" x14ac:dyDescent="0.3">
      <c r="A137" s="641" t="s">
        <v>727</v>
      </c>
      <c r="B137" s="742">
        <v>9800</v>
      </c>
      <c r="C137" s="743">
        <f>C138+C139</f>
        <v>200000</v>
      </c>
    </row>
    <row r="138" spans="1:3" ht="53.4" x14ac:dyDescent="0.3">
      <c r="A138" s="795"/>
      <c r="B138" s="725" t="s">
        <v>745</v>
      </c>
      <c r="C138" s="726">
        <v>100000</v>
      </c>
    </row>
    <row r="139" spans="1:3" ht="78" customHeight="1" x14ac:dyDescent="0.3">
      <c r="A139" s="795"/>
      <c r="B139" s="725" t="s">
        <v>746</v>
      </c>
      <c r="C139" s="726">
        <v>100000</v>
      </c>
    </row>
    <row r="140" spans="1:3" hidden="1" x14ac:dyDescent="0.3">
      <c r="A140" s="727" t="s">
        <v>183</v>
      </c>
      <c r="B140" s="728" t="s">
        <v>183</v>
      </c>
      <c r="C140" s="713"/>
    </row>
    <row r="141" spans="1:3" hidden="1" x14ac:dyDescent="0.3">
      <c r="A141" s="727" t="s">
        <v>183</v>
      </c>
      <c r="B141" s="728" t="s">
        <v>183</v>
      </c>
      <c r="C141" s="713"/>
    </row>
    <row r="142" spans="1:3" hidden="1" x14ac:dyDescent="0.3">
      <c r="A142" s="729" t="s">
        <v>183</v>
      </c>
      <c r="B142" s="730" t="s">
        <v>183</v>
      </c>
      <c r="C142" s="713"/>
    </row>
    <row r="143" spans="1:3" x14ac:dyDescent="0.3">
      <c r="A143" s="711" t="s">
        <v>183</v>
      </c>
      <c r="B143" s="712" t="s">
        <v>519</v>
      </c>
      <c r="C143" s="713">
        <f>C144+C145</f>
        <v>920000</v>
      </c>
    </row>
    <row r="144" spans="1:3" x14ac:dyDescent="0.3">
      <c r="A144" s="711" t="s">
        <v>183</v>
      </c>
      <c r="B144" s="712" t="s">
        <v>494</v>
      </c>
      <c r="C144" s="713">
        <f>C127</f>
        <v>50000</v>
      </c>
    </row>
    <row r="145" spans="1:8" ht="16.2" thickBot="1" x14ac:dyDescent="0.35">
      <c r="A145" s="714" t="s">
        <v>183</v>
      </c>
      <c r="B145" s="715" t="s">
        <v>495</v>
      </c>
      <c r="C145" s="716">
        <f>C137+C132</f>
        <v>870000</v>
      </c>
      <c r="F145" s="259" t="s">
        <v>901</v>
      </c>
      <c r="G145" s="259" t="s">
        <v>902</v>
      </c>
    </row>
    <row r="146" spans="1:8" ht="31.2" hidden="1" x14ac:dyDescent="0.3">
      <c r="B146" s="699" t="s">
        <v>753</v>
      </c>
      <c r="C146" s="490">
        <f>C29+C50+C69+C44+C97</f>
        <v>1840000</v>
      </c>
      <c r="F146" s="490">
        <f>C102</f>
        <v>926700</v>
      </c>
      <c r="G146" s="490">
        <f>C113</f>
        <v>1259179</v>
      </c>
      <c r="H146" s="490">
        <f>C146+F146+G146</f>
        <v>4025879</v>
      </c>
    </row>
    <row r="147" spans="1:8" ht="31.2" hidden="1" x14ac:dyDescent="0.3">
      <c r="B147" s="699" t="s">
        <v>755</v>
      </c>
      <c r="C147" s="490">
        <f>C31+C52+C71+C83</f>
        <v>2793839</v>
      </c>
    </row>
    <row r="148" spans="1:8" hidden="1" x14ac:dyDescent="0.3">
      <c r="B148" s="797" t="s">
        <v>295</v>
      </c>
      <c r="C148" s="490">
        <f>C146+C147</f>
        <v>4633839</v>
      </c>
    </row>
    <row r="149" spans="1:8" ht="31.2" hidden="1" x14ac:dyDescent="0.3">
      <c r="B149" s="699" t="s">
        <v>696</v>
      </c>
      <c r="C149" s="490">
        <f>C28+C47+C67+C82</f>
        <v>165443</v>
      </c>
    </row>
    <row r="150" spans="1:8" ht="31.2" hidden="1" x14ac:dyDescent="0.3">
      <c r="B150" s="699" t="s">
        <v>695</v>
      </c>
      <c r="C150" s="490">
        <f>C68</f>
        <v>244500</v>
      </c>
    </row>
    <row r="151" spans="1:8" ht="31.2" hidden="1" x14ac:dyDescent="0.3">
      <c r="B151" s="699" t="s">
        <v>762</v>
      </c>
      <c r="C151" s="490">
        <f>C96</f>
        <v>20000</v>
      </c>
    </row>
    <row r="152" spans="1:8" hidden="1" x14ac:dyDescent="0.3">
      <c r="B152" s="797" t="s">
        <v>295</v>
      </c>
      <c r="C152" s="490">
        <f>C149+C150+C151</f>
        <v>429943</v>
      </c>
    </row>
    <row r="153" spans="1:8" hidden="1" x14ac:dyDescent="0.3"/>
  </sheetData>
  <mergeCells count="7">
    <mergeCell ref="A104:C104"/>
    <mergeCell ref="A126:C126"/>
    <mergeCell ref="A131:C131"/>
    <mergeCell ref="A5:C5"/>
    <mergeCell ref="A6:C6"/>
    <mergeCell ref="A7:C7"/>
    <mergeCell ref="A12:C12"/>
  </mergeCells>
  <pageMargins left="1.1023622047244095" right="0.31496062992125984" top="0.55118110236220474" bottom="0.74803149606299213" header="0.31496062992125984" footer="0.31496062992125984"/>
  <pageSetup paperSize="9" scale="75" fitToHeight="2" orientation="portrait" horizontalDpi="360" verticalDpi="360"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O201"/>
  <sheetViews>
    <sheetView showZeros="0" zoomScale="50" zoomScaleNormal="50" zoomScaleSheetLayoutView="50" workbookViewId="0">
      <pane xSplit="3" ySplit="9" topLeftCell="D10" activePane="bottomRight" state="frozen"/>
      <selection pane="topRight" activeCell="E1" sqref="E1"/>
      <selection pane="bottomLeft" activeCell="A14" sqref="A14"/>
      <selection pane="bottomRight" activeCell="A99" sqref="A99:XFD105"/>
    </sheetView>
  </sheetViews>
  <sheetFormatPr defaultRowHeight="13.2" x14ac:dyDescent="0.3"/>
  <cols>
    <col min="1" max="1" width="13.88671875" style="263" customWidth="1"/>
    <col min="2" max="2" width="14.109375" style="264" customWidth="1"/>
    <col min="3" max="3" width="13.44140625" style="265" customWidth="1"/>
    <col min="4" max="4" width="60.88671875" style="266" customWidth="1"/>
    <col min="5" max="5" width="72.33203125" style="266" customWidth="1"/>
    <col min="6" max="6" width="23.5546875" style="267" customWidth="1"/>
    <col min="7" max="8" width="23.44140625" style="267" customWidth="1"/>
    <col min="9" max="9" width="25.109375" style="267" customWidth="1"/>
    <col min="10" max="10" width="22.44140625" style="267" hidden="1" customWidth="1"/>
    <col min="11" max="11" width="21.33203125" style="267" hidden="1" customWidth="1"/>
    <col min="12" max="12" width="25.6640625" style="267" hidden="1" customWidth="1"/>
    <col min="13" max="13" width="19.88671875" style="268" hidden="1" customWidth="1"/>
    <col min="14" max="14" width="30.5546875" style="268" customWidth="1"/>
    <col min="15" max="15" width="38.88671875" style="263" hidden="1" customWidth="1"/>
    <col min="16" max="256" width="9.109375" style="263"/>
    <col min="257" max="257" width="13.88671875" style="263" customWidth="1"/>
    <col min="258" max="258" width="14.109375" style="263" customWidth="1"/>
    <col min="259" max="259" width="13.44140625" style="263" customWidth="1"/>
    <col min="260" max="260" width="60.88671875" style="263" customWidth="1"/>
    <col min="261" max="261" width="72.33203125" style="263" customWidth="1"/>
    <col min="262" max="262" width="23.5546875" style="263" customWidth="1"/>
    <col min="263" max="264" width="23.44140625" style="263" customWidth="1"/>
    <col min="265" max="265" width="25.109375" style="263" customWidth="1"/>
    <col min="266" max="269" width="0" style="263" hidden="1" customWidth="1"/>
    <col min="270" max="270" width="30.5546875" style="263" customWidth="1"/>
    <col min="271" max="271" width="0" style="263" hidden="1" customWidth="1"/>
    <col min="272" max="512" width="9.109375" style="263"/>
    <col min="513" max="513" width="13.88671875" style="263" customWidth="1"/>
    <col min="514" max="514" width="14.109375" style="263" customWidth="1"/>
    <col min="515" max="515" width="13.44140625" style="263" customWidth="1"/>
    <col min="516" max="516" width="60.88671875" style="263" customWidth="1"/>
    <col min="517" max="517" width="72.33203125" style="263" customWidth="1"/>
    <col min="518" max="518" width="23.5546875" style="263" customWidth="1"/>
    <col min="519" max="520" width="23.44140625" style="263" customWidth="1"/>
    <col min="521" max="521" width="25.109375" style="263" customWidth="1"/>
    <col min="522" max="525" width="0" style="263" hidden="1" customWidth="1"/>
    <col min="526" max="526" width="30.5546875" style="263" customWidth="1"/>
    <col min="527" max="527" width="0" style="263" hidden="1" customWidth="1"/>
    <col min="528" max="768" width="9.109375" style="263"/>
    <col min="769" max="769" width="13.88671875" style="263" customWidth="1"/>
    <col min="770" max="770" width="14.109375" style="263" customWidth="1"/>
    <col min="771" max="771" width="13.44140625" style="263" customWidth="1"/>
    <col min="772" max="772" width="60.88671875" style="263" customWidth="1"/>
    <col min="773" max="773" width="72.33203125" style="263" customWidth="1"/>
    <col min="774" max="774" width="23.5546875" style="263" customWidth="1"/>
    <col min="775" max="776" width="23.44140625" style="263" customWidth="1"/>
    <col min="777" max="777" width="25.109375" style="263" customWidth="1"/>
    <col min="778" max="781" width="0" style="263" hidden="1" customWidth="1"/>
    <col min="782" max="782" width="30.5546875" style="263" customWidth="1"/>
    <col min="783" max="783" width="0" style="263" hidden="1" customWidth="1"/>
    <col min="784" max="1024" width="9.109375" style="263"/>
    <col min="1025" max="1025" width="13.88671875" style="263" customWidth="1"/>
    <col min="1026" max="1026" width="14.109375" style="263" customWidth="1"/>
    <col min="1027" max="1027" width="13.44140625" style="263" customWidth="1"/>
    <col min="1028" max="1028" width="60.88671875" style="263" customWidth="1"/>
    <col min="1029" max="1029" width="72.33203125" style="263" customWidth="1"/>
    <col min="1030" max="1030" width="23.5546875" style="263" customWidth="1"/>
    <col min="1031" max="1032" width="23.44140625" style="263" customWidth="1"/>
    <col min="1033" max="1033" width="25.109375" style="263" customWidth="1"/>
    <col min="1034" max="1037" width="0" style="263" hidden="1" customWidth="1"/>
    <col min="1038" max="1038" width="30.5546875" style="263" customWidth="1"/>
    <col min="1039" max="1039" width="0" style="263" hidden="1" customWidth="1"/>
    <col min="1040" max="1280" width="9.109375" style="263"/>
    <col min="1281" max="1281" width="13.88671875" style="263" customWidth="1"/>
    <col min="1282" max="1282" width="14.109375" style="263" customWidth="1"/>
    <col min="1283" max="1283" width="13.44140625" style="263" customWidth="1"/>
    <col min="1284" max="1284" width="60.88671875" style="263" customWidth="1"/>
    <col min="1285" max="1285" width="72.33203125" style="263" customWidth="1"/>
    <col min="1286" max="1286" width="23.5546875" style="263" customWidth="1"/>
    <col min="1287" max="1288" width="23.44140625" style="263" customWidth="1"/>
    <col min="1289" max="1289" width="25.109375" style="263" customWidth="1"/>
    <col min="1290" max="1293" width="0" style="263" hidden="1" customWidth="1"/>
    <col min="1294" max="1294" width="30.5546875" style="263" customWidth="1"/>
    <col min="1295" max="1295" width="0" style="263" hidden="1" customWidth="1"/>
    <col min="1296" max="1536" width="9.109375" style="263"/>
    <col min="1537" max="1537" width="13.88671875" style="263" customWidth="1"/>
    <col min="1538" max="1538" width="14.109375" style="263" customWidth="1"/>
    <col min="1539" max="1539" width="13.44140625" style="263" customWidth="1"/>
    <col min="1540" max="1540" width="60.88671875" style="263" customWidth="1"/>
    <col min="1541" max="1541" width="72.33203125" style="263" customWidth="1"/>
    <col min="1542" max="1542" width="23.5546875" style="263" customWidth="1"/>
    <col min="1543" max="1544" width="23.44140625" style="263" customWidth="1"/>
    <col min="1545" max="1545" width="25.109375" style="263" customWidth="1"/>
    <col min="1546" max="1549" width="0" style="263" hidden="1" customWidth="1"/>
    <col min="1550" max="1550" width="30.5546875" style="263" customWidth="1"/>
    <col min="1551" max="1551" width="0" style="263" hidden="1" customWidth="1"/>
    <col min="1552" max="1792" width="9.109375" style="263"/>
    <col min="1793" max="1793" width="13.88671875" style="263" customWidth="1"/>
    <col min="1794" max="1794" width="14.109375" style="263" customWidth="1"/>
    <col min="1795" max="1795" width="13.44140625" style="263" customWidth="1"/>
    <col min="1796" max="1796" width="60.88671875" style="263" customWidth="1"/>
    <col min="1797" max="1797" width="72.33203125" style="263" customWidth="1"/>
    <col min="1798" max="1798" width="23.5546875" style="263" customWidth="1"/>
    <col min="1799" max="1800" width="23.44140625" style="263" customWidth="1"/>
    <col min="1801" max="1801" width="25.109375" style="263" customWidth="1"/>
    <col min="1802" max="1805" width="0" style="263" hidden="1" customWidth="1"/>
    <col min="1806" max="1806" width="30.5546875" style="263" customWidth="1"/>
    <col min="1807" max="1807" width="0" style="263" hidden="1" customWidth="1"/>
    <col min="1808" max="2048" width="9.109375" style="263"/>
    <col min="2049" max="2049" width="13.88671875" style="263" customWidth="1"/>
    <col min="2050" max="2050" width="14.109375" style="263" customWidth="1"/>
    <col min="2051" max="2051" width="13.44140625" style="263" customWidth="1"/>
    <col min="2052" max="2052" width="60.88671875" style="263" customWidth="1"/>
    <col min="2053" max="2053" width="72.33203125" style="263" customWidth="1"/>
    <col min="2054" max="2054" width="23.5546875" style="263" customWidth="1"/>
    <col min="2055" max="2056" width="23.44140625" style="263" customWidth="1"/>
    <col min="2057" max="2057" width="25.109375" style="263" customWidth="1"/>
    <col min="2058" max="2061" width="0" style="263" hidden="1" customWidth="1"/>
    <col min="2062" max="2062" width="30.5546875" style="263" customWidth="1"/>
    <col min="2063" max="2063" width="0" style="263" hidden="1" customWidth="1"/>
    <col min="2064" max="2304" width="9.109375" style="263"/>
    <col min="2305" max="2305" width="13.88671875" style="263" customWidth="1"/>
    <col min="2306" max="2306" width="14.109375" style="263" customWidth="1"/>
    <col min="2307" max="2307" width="13.44140625" style="263" customWidth="1"/>
    <col min="2308" max="2308" width="60.88671875" style="263" customWidth="1"/>
    <col min="2309" max="2309" width="72.33203125" style="263" customWidth="1"/>
    <col min="2310" max="2310" width="23.5546875" style="263" customWidth="1"/>
    <col min="2311" max="2312" width="23.44140625" style="263" customWidth="1"/>
    <col min="2313" max="2313" width="25.109375" style="263" customWidth="1"/>
    <col min="2314" max="2317" width="0" style="263" hidden="1" customWidth="1"/>
    <col min="2318" max="2318" width="30.5546875" style="263" customWidth="1"/>
    <col min="2319" max="2319" width="0" style="263" hidden="1" customWidth="1"/>
    <col min="2320" max="2560" width="9.109375" style="263"/>
    <col min="2561" max="2561" width="13.88671875" style="263" customWidth="1"/>
    <col min="2562" max="2562" width="14.109375" style="263" customWidth="1"/>
    <col min="2563" max="2563" width="13.44140625" style="263" customWidth="1"/>
    <col min="2564" max="2564" width="60.88671875" style="263" customWidth="1"/>
    <col min="2565" max="2565" width="72.33203125" style="263" customWidth="1"/>
    <col min="2566" max="2566" width="23.5546875" style="263" customWidth="1"/>
    <col min="2567" max="2568" width="23.44140625" style="263" customWidth="1"/>
    <col min="2569" max="2569" width="25.109375" style="263" customWidth="1"/>
    <col min="2570" max="2573" width="0" style="263" hidden="1" customWidth="1"/>
    <col min="2574" max="2574" width="30.5546875" style="263" customWidth="1"/>
    <col min="2575" max="2575" width="0" style="263" hidden="1" customWidth="1"/>
    <col min="2576" max="2816" width="9.109375" style="263"/>
    <col min="2817" max="2817" width="13.88671875" style="263" customWidth="1"/>
    <col min="2818" max="2818" width="14.109375" style="263" customWidth="1"/>
    <col min="2819" max="2819" width="13.44140625" style="263" customWidth="1"/>
    <col min="2820" max="2820" width="60.88671875" style="263" customWidth="1"/>
    <col min="2821" max="2821" width="72.33203125" style="263" customWidth="1"/>
    <col min="2822" max="2822" width="23.5546875" style="263" customWidth="1"/>
    <col min="2823" max="2824" width="23.44140625" style="263" customWidth="1"/>
    <col min="2825" max="2825" width="25.109375" style="263" customWidth="1"/>
    <col min="2826" max="2829" width="0" style="263" hidden="1" customWidth="1"/>
    <col min="2830" max="2830" width="30.5546875" style="263" customWidth="1"/>
    <col min="2831" max="2831" width="0" style="263" hidden="1" customWidth="1"/>
    <col min="2832" max="3072" width="9.109375" style="263"/>
    <col min="3073" max="3073" width="13.88671875" style="263" customWidth="1"/>
    <col min="3074" max="3074" width="14.109375" style="263" customWidth="1"/>
    <col min="3075" max="3075" width="13.44140625" style="263" customWidth="1"/>
    <col min="3076" max="3076" width="60.88671875" style="263" customWidth="1"/>
    <col min="3077" max="3077" width="72.33203125" style="263" customWidth="1"/>
    <col min="3078" max="3078" width="23.5546875" style="263" customWidth="1"/>
    <col min="3079" max="3080" width="23.44140625" style="263" customWidth="1"/>
    <col min="3081" max="3081" width="25.109375" style="263" customWidth="1"/>
    <col min="3082" max="3085" width="0" style="263" hidden="1" customWidth="1"/>
    <col min="3086" max="3086" width="30.5546875" style="263" customWidth="1"/>
    <col min="3087" max="3087" width="0" style="263" hidden="1" customWidth="1"/>
    <col min="3088" max="3328" width="9.109375" style="263"/>
    <col min="3329" max="3329" width="13.88671875" style="263" customWidth="1"/>
    <col min="3330" max="3330" width="14.109375" style="263" customWidth="1"/>
    <col min="3331" max="3331" width="13.44140625" style="263" customWidth="1"/>
    <col min="3332" max="3332" width="60.88671875" style="263" customWidth="1"/>
    <col min="3333" max="3333" width="72.33203125" style="263" customWidth="1"/>
    <col min="3334" max="3334" width="23.5546875" style="263" customWidth="1"/>
    <col min="3335" max="3336" width="23.44140625" style="263" customWidth="1"/>
    <col min="3337" max="3337" width="25.109375" style="263" customWidth="1"/>
    <col min="3338" max="3341" width="0" style="263" hidden="1" customWidth="1"/>
    <col min="3342" max="3342" width="30.5546875" style="263" customWidth="1"/>
    <col min="3343" max="3343" width="0" style="263" hidden="1" customWidth="1"/>
    <col min="3344" max="3584" width="9.109375" style="263"/>
    <col min="3585" max="3585" width="13.88671875" style="263" customWidth="1"/>
    <col min="3586" max="3586" width="14.109375" style="263" customWidth="1"/>
    <col min="3587" max="3587" width="13.44140625" style="263" customWidth="1"/>
    <col min="3588" max="3588" width="60.88671875" style="263" customWidth="1"/>
    <col min="3589" max="3589" width="72.33203125" style="263" customWidth="1"/>
    <col min="3590" max="3590" width="23.5546875" style="263" customWidth="1"/>
    <col min="3591" max="3592" width="23.44140625" style="263" customWidth="1"/>
    <col min="3593" max="3593" width="25.109375" style="263" customWidth="1"/>
    <col min="3594" max="3597" width="0" style="263" hidden="1" customWidth="1"/>
    <col min="3598" max="3598" width="30.5546875" style="263" customWidth="1"/>
    <col min="3599" max="3599" width="0" style="263" hidden="1" customWidth="1"/>
    <col min="3600" max="3840" width="9.109375" style="263"/>
    <col min="3841" max="3841" width="13.88671875" style="263" customWidth="1"/>
    <col min="3842" max="3842" width="14.109375" style="263" customWidth="1"/>
    <col min="3843" max="3843" width="13.44140625" style="263" customWidth="1"/>
    <col min="3844" max="3844" width="60.88671875" style="263" customWidth="1"/>
    <col min="3845" max="3845" width="72.33203125" style="263" customWidth="1"/>
    <col min="3846" max="3846" width="23.5546875" style="263" customWidth="1"/>
    <col min="3847" max="3848" width="23.44140625" style="263" customWidth="1"/>
    <col min="3849" max="3849" width="25.109375" style="263" customWidth="1"/>
    <col min="3850" max="3853" width="0" style="263" hidden="1" customWidth="1"/>
    <col min="3854" max="3854" width="30.5546875" style="263" customWidth="1"/>
    <col min="3855" max="3855" width="0" style="263" hidden="1" customWidth="1"/>
    <col min="3856" max="4096" width="9.109375" style="263"/>
    <col min="4097" max="4097" width="13.88671875" style="263" customWidth="1"/>
    <col min="4098" max="4098" width="14.109375" style="263" customWidth="1"/>
    <col min="4099" max="4099" width="13.44140625" style="263" customWidth="1"/>
    <col min="4100" max="4100" width="60.88671875" style="263" customWidth="1"/>
    <col min="4101" max="4101" width="72.33203125" style="263" customWidth="1"/>
    <col min="4102" max="4102" width="23.5546875" style="263" customWidth="1"/>
    <col min="4103" max="4104" width="23.44140625" style="263" customWidth="1"/>
    <col min="4105" max="4105" width="25.109375" style="263" customWidth="1"/>
    <col min="4106" max="4109" width="0" style="263" hidden="1" customWidth="1"/>
    <col min="4110" max="4110" width="30.5546875" style="263" customWidth="1"/>
    <col min="4111" max="4111" width="0" style="263" hidden="1" customWidth="1"/>
    <col min="4112" max="4352" width="9.109375" style="263"/>
    <col min="4353" max="4353" width="13.88671875" style="263" customWidth="1"/>
    <col min="4354" max="4354" width="14.109375" style="263" customWidth="1"/>
    <col min="4355" max="4355" width="13.44140625" style="263" customWidth="1"/>
    <col min="4356" max="4356" width="60.88671875" style="263" customWidth="1"/>
    <col min="4357" max="4357" width="72.33203125" style="263" customWidth="1"/>
    <col min="4358" max="4358" width="23.5546875" style="263" customWidth="1"/>
    <col min="4359" max="4360" width="23.44140625" style="263" customWidth="1"/>
    <col min="4361" max="4361" width="25.109375" style="263" customWidth="1"/>
    <col min="4362" max="4365" width="0" style="263" hidden="1" customWidth="1"/>
    <col min="4366" max="4366" width="30.5546875" style="263" customWidth="1"/>
    <col min="4367" max="4367" width="0" style="263" hidden="1" customWidth="1"/>
    <col min="4368" max="4608" width="9.109375" style="263"/>
    <col min="4609" max="4609" width="13.88671875" style="263" customWidth="1"/>
    <col min="4610" max="4610" width="14.109375" style="263" customWidth="1"/>
    <col min="4611" max="4611" width="13.44140625" style="263" customWidth="1"/>
    <col min="4612" max="4612" width="60.88671875" style="263" customWidth="1"/>
    <col min="4613" max="4613" width="72.33203125" style="263" customWidth="1"/>
    <col min="4614" max="4614" width="23.5546875" style="263" customWidth="1"/>
    <col min="4615" max="4616" width="23.44140625" style="263" customWidth="1"/>
    <col min="4617" max="4617" width="25.109375" style="263" customWidth="1"/>
    <col min="4618" max="4621" width="0" style="263" hidden="1" customWidth="1"/>
    <col min="4622" max="4622" width="30.5546875" style="263" customWidth="1"/>
    <col min="4623" max="4623" width="0" style="263" hidden="1" customWidth="1"/>
    <col min="4624" max="4864" width="9.109375" style="263"/>
    <col min="4865" max="4865" width="13.88671875" style="263" customWidth="1"/>
    <col min="4866" max="4866" width="14.109375" style="263" customWidth="1"/>
    <col min="4867" max="4867" width="13.44140625" style="263" customWidth="1"/>
    <col min="4868" max="4868" width="60.88671875" style="263" customWidth="1"/>
    <col min="4869" max="4869" width="72.33203125" style="263" customWidth="1"/>
    <col min="4870" max="4870" width="23.5546875" style="263" customWidth="1"/>
    <col min="4871" max="4872" width="23.44140625" style="263" customWidth="1"/>
    <col min="4873" max="4873" width="25.109375" style="263" customWidth="1"/>
    <col min="4874" max="4877" width="0" style="263" hidden="1" customWidth="1"/>
    <col min="4878" max="4878" width="30.5546875" style="263" customWidth="1"/>
    <col min="4879" max="4879" width="0" style="263" hidden="1" customWidth="1"/>
    <col min="4880" max="5120" width="9.109375" style="263"/>
    <col min="5121" max="5121" width="13.88671875" style="263" customWidth="1"/>
    <col min="5122" max="5122" width="14.109375" style="263" customWidth="1"/>
    <col min="5123" max="5123" width="13.44140625" style="263" customWidth="1"/>
    <col min="5124" max="5124" width="60.88671875" style="263" customWidth="1"/>
    <col min="5125" max="5125" width="72.33203125" style="263" customWidth="1"/>
    <col min="5126" max="5126" width="23.5546875" style="263" customWidth="1"/>
    <col min="5127" max="5128" width="23.44140625" style="263" customWidth="1"/>
    <col min="5129" max="5129" width="25.109375" style="263" customWidth="1"/>
    <col min="5130" max="5133" width="0" style="263" hidden="1" customWidth="1"/>
    <col min="5134" max="5134" width="30.5546875" style="263" customWidth="1"/>
    <col min="5135" max="5135" width="0" style="263" hidden="1" customWidth="1"/>
    <col min="5136" max="5376" width="9.109375" style="263"/>
    <col min="5377" max="5377" width="13.88671875" style="263" customWidth="1"/>
    <col min="5378" max="5378" width="14.109375" style="263" customWidth="1"/>
    <col min="5379" max="5379" width="13.44140625" style="263" customWidth="1"/>
    <col min="5380" max="5380" width="60.88671875" style="263" customWidth="1"/>
    <col min="5381" max="5381" width="72.33203125" style="263" customWidth="1"/>
    <col min="5382" max="5382" width="23.5546875" style="263" customWidth="1"/>
    <col min="5383" max="5384" width="23.44140625" style="263" customWidth="1"/>
    <col min="5385" max="5385" width="25.109375" style="263" customWidth="1"/>
    <col min="5386" max="5389" width="0" style="263" hidden="1" customWidth="1"/>
    <col min="5390" max="5390" width="30.5546875" style="263" customWidth="1"/>
    <col min="5391" max="5391" width="0" style="263" hidden="1" customWidth="1"/>
    <col min="5392" max="5632" width="9.109375" style="263"/>
    <col min="5633" max="5633" width="13.88671875" style="263" customWidth="1"/>
    <col min="5634" max="5634" width="14.109375" style="263" customWidth="1"/>
    <col min="5635" max="5635" width="13.44140625" style="263" customWidth="1"/>
    <col min="5636" max="5636" width="60.88671875" style="263" customWidth="1"/>
    <col min="5637" max="5637" width="72.33203125" style="263" customWidth="1"/>
    <col min="5638" max="5638" width="23.5546875" style="263" customWidth="1"/>
    <col min="5639" max="5640" width="23.44140625" style="263" customWidth="1"/>
    <col min="5641" max="5641" width="25.109375" style="263" customWidth="1"/>
    <col min="5642" max="5645" width="0" style="263" hidden="1" customWidth="1"/>
    <col min="5646" max="5646" width="30.5546875" style="263" customWidth="1"/>
    <col min="5647" max="5647" width="0" style="263" hidden="1" customWidth="1"/>
    <col min="5648" max="5888" width="9.109375" style="263"/>
    <col min="5889" max="5889" width="13.88671875" style="263" customWidth="1"/>
    <col min="5890" max="5890" width="14.109375" style="263" customWidth="1"/>
    <col min="5891" max="5891" width="13.44140625" style="263" customWidth="1"/>
    <col min="5892" max="5892" width="60.88671875" style="263" customWidth="1"/>
    <col min="5893" max="5893" width="72.33203125" style="263" customWidth="1"/>
    <col min="5894" max="5894" width="23.5546875" style="263" customWidth="1"/>
    <col min="5895" max="5896" width="23.44140625" style="263" customWidth="1"/>
    <col min="5897" max="5897" width="25.109375" style="263" customWidth="1"/>
    <col min="5898" max="5901" width="0" style="263" hidden="1" customWidth="1"/>
    <col min="5902" max="5902" width="30.5546875" style="263" customWidth="1"/>
    <col min="5903" max="5903" width="0" style="263" hidden="1" customWidth="1"/>
    <col min="5904" max="6144" width="9.109375" style="263"/>
    <col min="6145" max="6145" width="13.88671875" style="263" customWidth="1"/>
    <col min="6146" max="6146" width="14.109375" style="263" customWidth="1"/>
    <col min="6147" max="6147" width="13.44140625" style="263" customWidth="1"/>
    <col min="6148" max="6148" width="60.88671875" style="263" customWidth="1"/>
    <col min="6149" max="6149" width="72.33203125" style="263" customWidth="1"/>
    <col min="6150" max="6150" width="23.5546875" style="263" customWidth="1"/>
    <col min="6151" max="6152" width="23.44140625" style="263" customWidth="1"/>
    <col min="6153" max="6153" width="25.109375" style="263" customWidth="1"/>
    <col min="6154" max="6157" width="0" style="263" hidden="1" customWidth="1"/>
    <col min="6158" max="6158" width="30.5546875" style="263" customWidth="1"/>
    <col min="6159" max="6159" width="0" style="263" hidden="1" customWidth="1"/>
    <col min="6160" max="6400" width="9.109375" style="263"/>
    <col min="6401" max="6401" width="13.88671875" style="263" customWidth="1"/>
    <col min="6402" max="6402" width="14.109375" style="263" customWidth="1"/>
    <col min="6403" max="6403" width="13.44140625" style="263" customWidth="1"/>
    <col min="6404" max="6404" width="60.88671875" style="263" customWidth="1"/>
    <col min="6405" max="6405" width="72.33203125" style="263" customWidth="1"/>
    <col min="6406" max="6406" width="23.5546875" style="263" customWidth="1"/>
    <col min="6407" max="6408" width="23.44140625" style="263" customWidth="1"/>
    <col min="6409" max="6409" width="25.109375" style="263" customWidth="1"/>
    <col min="6410" max="6413" width="0" style="263" hidden="1" customWidth="1"/>
    <col min="6414" max="6414" width="30.5546875" style="263" customWidth="1"/>
    <col min="6415" max="6415" width="0" style="263" hidden="1" customWidth="1"/>
    <col min="6416" max="6656" width="9.109375" style="263"/>
    <col min="6657" max="6657" width="13.88671875" style="263" customWidth="1"/>
    <col min="6658" max="6658" width="14.109375" style="263" customWidth="1"/>
    <col min="6659" max="6659" width="13.44140625" style="263" customWidth="1"/>
    <col min="6660" max="6660" width="60.88671875" style="263" customWidth="1"/>
    <col min="6661" max="6661" width="72.33203125" style="263" customWidth="1"/>
    <col min="6662" max="6662" width="23.5546875" style="263" customWidth="1"/>
    <col min="6663" max="6664" width="23.44140625" style="263" customWidth="1"/>
    <col min="6665" max="6665" width="25.109375" style="263" customWidth="1"/>
    <col min="6666" max="6669" width="0" style="263" hidden="1" customWidth="1"/>
    <col min="6670" max="6670" width="30.5546875" style="263" customWidth="1"/>
    <col min="6671" max="6671" width="0" style="263" hidden="1" customWidth="1"/>
    <col min="6672" max="6912" width="9.109375" style="263"/>
    <col min="6913" max="6913" width="13.88671875" style="263" customWidth="1"/>
    <col min="6914" max="6914" width="14.109375" style="263" customWidth="1"/>
    <col min="6915" max="6915" width="13.44140625" style="263" customWidth="1"/>
    <col min="6916" max="6916" width="60.88671875" style="263" customWidth="1"/>
    <col min="6917" max="6917" width="72.33203125" style="263" customWidth="1"/>
    <col min="6918" max="6918" width="23.5546875" style="263" customWidth="1"/>
    <col min="6919" max="6920" width="23.44140625" style="263" customWidth="1"/>
    <col min="6921" max="6921" width="25.109375" style="263" customWidth="1"/>
    <col min="6922" max="6925" width="0" style="263" hidden="1" customWidth="1"/>
    <col min="6926" max="6926" width="30.5546875" style="263" customWidth="1"/>
    <col min="6927" max="6927" width="0" style="263" hidden="1" customWidth="1"/>
    <col min="6928" max="7168" width="9.109375" style="263"/>
    <col min="7169" max="7169" width="13.88671875" style="263" customWidth="1"/>
    <col min="7170" max="7170" width="14.109375" style="263" customWidth="1"/>
    <col min="7171" max="7171" width="13.44140625" style="263" customWidth="1"/>
    <col min="7172" max="7172" width="60.88671875" style="263" customWidth="1"/>
    <col min="7173" max="7173" width="72.33203125" style="263" customWidth="1"/>
    <col min="7174" max="7174" width="23.5546875" style="263" customWidth="1"/>
    <col min="7175" max="7176" width="23.44140625" style="263" customWidth="1"/>
    <col min="7177" max="7177" width="25.109375" style="263" customWidth="1"/>
    <col min="7178" max="7181" width="0" style="263" hidden="1" customWidth="1"/>
    <col min="7182" max="7182" width="30.5546875" style="263" customWidth="1"/>
    <col min="7183" max="7183" width="0" style="263" hidden="1" customWidth="1"/>
    <col min="7184" max="7424" width="9.109375" style="263"/>
    <col min="7425" max="7425" width="13.88671875" style="263" customWidth="1"/>
    <col min="7426" max="7426" width="14.109375" style="263" customWidth="1"/>
    <col min="7427" max="7427" width="13.44140625" style="263" customWidth="1"/>
    <col min="7428" max="7428" width="60.88671875" style="263" customWidth="1"/>
    <col min="7429" max="7429" width="72.33203125" style="263" customWidth="1"/>
    <col min="7430" max="7430" width="23.5546875" style="263" customWidth="1"/>
    <col min="7431" max="7432" width="23.44140625" style="263" customWidth="1"/>
    <col min="7433" max="7433" width="25.109375" style="263" customWidth="1"/>
    <col min="7434" max="7437" width="0" style="263" hidden="1" customWidth="1"/>
    <col min="7438" max="7438" width="30.5546875" style="263" customWidth="1"/>
    <col min="7439" max="7439" width="0" style="263" hidden="1" customWidth="1"/>
    <col min="7440" max="7680" width="9.109375" style="263"/>
    <col min="7681" max="7681" width="13.88671875" style="263" customWidth="1"/>
    <col min="7682" max="7682" width="14.109375" style="263" customWidth="1"/>
    <col min="7683" max="7683" width="13.44140625" style="263" customWidth="1"/>
    <col min="7684" max="7684" width="60.88671875" style="263" customWidth="1"/>
    <col min="7685" max="7685" width="72.33203125" style="263" customWidth="1"/>
    <col min="7686" max="7686" width="23.5546875" style="263" customWidth="1"/>
    <col min="7687" max="7688" width="23.44140625" style="263" customWidth="1"/>
    <col min="7689" max="7689" width="25.109375" style="263" customWidth="1"/>
    <col min="7690" max="7693" width="0" style="263" hidden="1" customWidth="1"/>
    <col min="7694" max="7694" width="30.5546875" style="263" customWidth="1"/>
    <col min="7695" max="7695" width="0" style="263" hidden="1" customWidth="1"/>
    <col min="7696" max="7936" width="9.109375" style="263"/>
    <col min="7937" max="7937" width="13.88671875" style="263" customWidth="1"/>
    <col min="7938" max="7938" width="14.109375" style="263" customWidth="1"/>
    <col min="7939" max="7939" width="13.44140625" style="263" customWidth="1"/>
    <col min="7940" max="7940" width="60.88671875" style="263" customWidth="1"/>
    <col min="7941" max="7941" width="72.33203125" style="263" customWidth="1"/>
    <col min="7942" max="7942" width="23.5546875" style="263" customWidth="1"/>
    <col min="7943" max="7944" width="23.44140625" style="263" customWidth="1"/>
    <col min="7945" max="7945" width="25.109375" style="263" customWidth="1"/>
    <col min="7946" max="7949" width="0" style="263" hidden="1" customWidth="1"/>
    <col min="7950" max="7950" width="30.5546875" style="263" customWidth="1"/>
    <col min="7951" max="7951" width="0" style="263" hidden="1" customWidth="1"/>
    <col min="7952" max="8192" width="9.109375" style="263"/>
    <col min="8193" max="8193" width="13.88671875" style="263" customWidth="1"/>
    <col min="8194" max="8194" width="14.109375" style="263" customWidth="1"/>
    <col min="8195" max="8195" width="13.44140625" style="263" customWidth="1"/>
    <col min="8196" max="8196" width="60.88671875" style="263" customWidth="1"/>
    <col min="8197" max="8197" width="72.33203125" style="263" customWidth="1"/>
    <col min="8198" max="8198" width="23.5546875" style="263" customWidth="1"/>
    <col min="8199" max="8200" width="23.44140625" style="263" customWidth="1"/>
    <col min="8201" max="8201" width="25.109375" style="263" customWidth="1"/>
    <col min="8202" max="8205" width="0" style="263" hidden="1" customWidth="1"/>
    <col min="8206" max="8206" width="30.5546875" style="263" customWidth="1"/>
    <col min="8207" max="8207" width="0" style="263" hidden="1" customWidth="1"/>
    <col min="8208" max="8448" width="9.109375" style="263"/>
    <col min="8449" max="8449" width="13.88671875" style="263" customWidth="1"/>
    <col min="8450" max="8450" width="14.109375" style="263" customWidth="1"/>
    <col min="8451" max="8451" width="13.44140625" style="263" customWidth="1"/>
    <col min="8452" max="8452" width="60.88671875" style="263" customWidth="1"/>
    <col min="8453" max="8453" width="72.33203125" style="263" customWidth="1"/>
    <col min="8454" max="8454" width="23.5546875" style="263" customWidth="1"/>
    <col min="8455" max="8456" width="23.44140625" style="263" customWidth="1"/>
    <col min="8457" max="8457" width="25.109375" style="263" customWidth="1"/>
    <col min="8458" max="8461" width="0" style="263" hidden="1" customWidth="1"/>
    <col min="8462" max="8462" width="30.5546875" style="263" customWidth="1"/>
    <col min="8463" max="8463" width="0" style="263" hidden="1" customWidth="1"/>
    <col min="8464" max="8704" width="9.109375" style="263"/>
    <col min="8705" max="8705" width="13.88671875" style="263" customWidth="1"/>
    <col min="8706" max="8706" width="14.109375" style="263" customWidth="1"/>
    <col min="8707" max="8707" width="13.44140625" style="263" customWidth="1"/>
    <col min="8708" max="8708" width="60.88671875" style="263" customWidth="1"/>
    <col min="8709" max="8709" width="72.33203125" style="263" customWidth="1"/>
    <col min="8710" max="8710" width="23.5546875" style="263" customWidth="1"/>
    <col min="8711" max="8712" width="23.44140625" style="263" customWidth="1"/>
    <col min="8713" max="8713" width="25.109375" style="263" customWidth="1"/>
    <col min="8714" max="8717" width="0" style="263" hidden="1" customWidth="1"/>
    <col min="8718" max="8718" width="30.5546875" style="263" customWidth="1"/>
    <col min="8719" max="8719" width="0" style="263" hidden="1" customWidth="1"/>
    <col min="8720" max="8960" width="9.109375" style="263"/>
    <col min="8961" max="8961" width="13.88671875" style="263" customWidth="1"/>
    <col min="8962" max="8962" width="14.109375" style="263" customWidth="1"/>
    <col min="8963" max="8963" width="13.44140625" style="263" customWidth="1"/>
    <col min="8964" max="8964" width="60.88671875" style="263" customWidth="1"/>
    <col min="8965" max="8965" width="72.33203125" style="263" customWidth="1"/>
    <col min="8966" max="8966" width="23.5546875" style="263" customWidth="1"/>
    <col min="8967" max="8968" width="23.44140625" style="263" customWidth="1"/>
    <col min="8969" max="8969" width="25.109375" style="263" customWidth="1"/>
    <col min="8970" max="8973" width="0" style="263" hidden="1" customWidth="1"/>
    <col min="8974" max="8974" width="30.5546875" style="263" customWidth="1"/>
    <col min="8975" max="8975" width="0" style="263" hidden="1" customWidth="1"/>
    <col min="8976" max="9216" width="9.109375" style="263"/>
    <col min="9217" max="9217" width="13.88671875" style="263" customWidth="1"/>
    <col min="9218" max="9218" width="14.109375" style="263" customWidth="1"/>
    <col min="9219" max="9219" width="13.44140625" style="263" customWidth="1"/>
    <col min="9220" max="9220" width="60.88671875" style="263" customWidth="1"/>
    <col min="9221" max="9221" width="72.33203125" style="263" customWidth="1"/>
    <col min="9222" max="9222" width="23.5546875" style="263" customWidth="1"/>
    <col min="9223" max="9224" width="23.44140625" style="263" customWidth="1"/>
    <col min="9225" max="9225" width="25.109375" style="263" customWidth="1"/>
    <col min="9226" max="9229" width="0" style="263" hidden="1" customWidth="1"/>
    <col min="9230" max="9230" width="30.5546875" style="263" customWidth="1"/>
    <col min="9231" max="9231" width="0" style="263" hidden="1" customWidth="1"/>
    <col min="9232" max="9472" width="9.109375" style="263"/>
    <col min="9473" max="9473" width="13.88671875" style="263" customWidth="1"/>
    <col min="9474" max="9474" width="14.109375" style="263" customWidth="1"/>
    <col min="9475" max="9475" width="13.44140625" style="263" customWidth="1"/>
    <col min="9476" max="9476" width="60.88671875" style="263" customWidth="1"/>
    <col min="9477" max="9477" width="72.33203125" style="263" customWidth="1"/>
    <col min="9478" max="9478" width="23.5546875" style="263" customWidth="1"/>
    <col min="9479" max="9480" width="23.44140625" style="263" customWidth="1"/>
    <col min="9481" max="9481" width="25.109375" style="263" customWidth="1"/>
    <col min="9482" max="9485" width="0" style="263" hidden="1" customWidth="1"/>
    <col min="9486" max="9486" width="30.5546875" style="263" customWidth="1"/>
    <col min="9487" max="9487" width="0" style="263" hidden="1" customWidth="1"/>
    <col min="9488" max="9728" width="9.109375" style="263"/>
    <col min="9729" max="9729" width="13.88671875" style="263" customWidth="1"/>
    <col min="9730" max="9730" width="14.109375" style="263" customWidth="1"/>
    <col min="9731" max="9731" width="13.44140625" style="263" customWidth="1"/>
    <col min="9732" max="9732" width="60.88671875" style="263" customWidth="1"/>
    <col min="9733" max="9733" width="72.33203125" style="263" customWidth="1"/>
    <col min="9734" max="9734" width="23.5546875" style="263" customWidth="1"/>
    <col min="9735" max="9736" width="23.44140625" style="263" customWidth="1"/>
    <col min="9737" max="9737" width="25.109375" style="263" customWidth="1"/>
    <col min="9738" max="9741" width="0" style="263" hidden="1" customWidth="1"/>
    <col min="9742" max="9742" width="30.5546875" style="263" customWidth="1"/>
    <col min="9743" max="9743" width="0" style="263" hidden="1" customWidth="1"/>
    <col min="9744" max="9984" width="9.109375" style="263"/>
    <col min="9985" max="9985" width="13.88671875" style="263" customWidth="1"/>
    <col min="9986" max="9986" width="14.109375" style="263" customWidth="1"/>
    <col min="9987" max="9987" width="13.44140625" style="263" customWidth="1"/>
    <col min="9988" max="9988" width="60.88671875" style="263" customWidth="1"/>
    <col min="9989" max="9989" width="72.33203125" style="263" customWidth="1"/>
    <col min="9990" max="9990" width="23.5546875" style="263" customWidth="1"/>
    <col min="9991" max="9992" width="23.44140625" style="263" customWidth="1"/>
    <col min="9993" max="9993" width="25.109375" style="263" customWidth="1"/>
    <col min="9994" max="9997" width="0" style="263" hidden="1" customWidth="1"/>
    <col min="9998" max="9998" width="30.5546875" style="263" customWidth="1"/>
    <col min="9999" max="9999" width="0" style="263" hidden="1" customWidth="1"/>
    <col min="10000" max="10240" width="9.109375" style="263"/>
    <col min="10241" max="10241" width="13.88671875" style="263" customWidth="1"/>
    <col min="10242" max="10242" width="14.109375" style="263" customWidth="1"/>
    <col min="10243" max="10243" width="13.44140625" style="263" customWidth="1"/>
    <col min="10244" max="10244" width="60.88671875" style="263" customWidth="1"/>
    <col min="10245" max="10245" width="72.33203125" style="263" customWidth="1"/>
    <col min="10246" max="10246" width="23.5546875" style="263" customWidth="1"/>
    <col min="10247" max="10248" width="23.44140625" style="263" customWidth="1"/>
    <col min="10249" max="10249" width="25.109375" style="263" customWidth="1"/>
    <col min="10250" max="10253" width="0" style="263" hidden="1" customWidth="1"/>
    <col min="10254" max="10254" width="30.5546875" style="263" customWidth="1"/>
    <col min="10255" max="10255" width="0" style="263" hidden="1" customWidth="1"/>
    <col min="10256" max="10496" width="9.109375" style="263"/>
    <col min="10497" max="10497" width="13.88671875" style="263" customWidth="1"/>
    <col min="10498" max="10498" width="14.109375" style="263" customWidth="1"/>
    <col min="10499" max="10499" width="13.44140625" style="263" customWidth="1"/>
    <col min="10500" max="10500" width="60.88671875" style="263" customWidth="1"/>
    <col min="10501" max="10501" width="72.33203125" style="263" customWidth="1"/>
    <col min="10502" max="10502" width="23.5546875" style="263" customWidth="1"/>
    <col min="10503" max="10504" width="23.44140625" style="263" customWidth="1"/>
    <col min="10505" max="10505" width="25.109375" style="263" customWidth="1"/>
    <col min="10506" max="10509" width="0" style="263" hidden="1" customWidth="1"/>
    <col min="10510" max="10510" width="30.5546875" style="263" customWidth="1"/>
    <col min="10511" max="10511" width="0" style="263" hidden="1" customWidth="1"/>
    <col min="10512" max="10752" width="9.109375" style="263"/>
    <col min="10753" max="10753" width="13.88671875" style="263" customWidth="1"/>
    <col min="10754" max="10754" width="14.109375" style="263" customWidth="1"/>
    <col min="10755" max="10755" width="13.44140625" style="263" customWidth="1"/>
    <col min="10756" max="10756" width="60.88671875" style="263" customWidth="1"/>
    <col min="10757" max="10757" width="72.33203125" style="263" customWidth="1"/>
    <col min="10758" max="10758" width="23.5546875" style="263" customWidth="1"/>
    <col min="10759" max="10760" width="23.44140625" style="263" customWidth="1"/>
    <col min="10761" max="10761" width="25.109375" style="263" customWidth="1"/>
    <col min="10762" max="10765" width="0" style="263" hidden="1" customWidth="1"/>
    <col min="10766" max="10766" width="30.5546875" style="263" customWidth="1"/>
    <col min="10767" max="10767" width="0" style="263" hidden="1" customWidth="1"/>
    <col min="10768" max="11008" width="9.109375" style="263"/>
    <col min="11009" max="11009" width="13.88671875" style="263" customWidth="1"/>
    <col min="11010" max="11010" width="14.109375" style="263" customWidth="1"/>
    <col min="11011" max="11011" width="13.44140625" style="263" customWidth="1"/>
    <col min="11012" max="11012" width="60.88671875" style="263" customWidth="1"/>
    <col min="11013" max="11013" width="72.33203125" style="263" customWidth="1"/>
    <col min="11014" max="11014" width="23.5546875" style="263" customWidth="1"/>
    <col min="11015" max="11016" width="23.44140625" style="263" customWidth="1"/>
    <col min="11017" max="11017" width="25.109375" style="263" customWidth="1"/>
    <col min="11018" max="11021" width="0" style="263" hidden="1" customWidth="1"/>
    <col min="11022" max="11022" width="30.5546875" style="263" customWidth="1"/>
    <col min="11023" max="11023" width="0" style="263" hidden="1" customWidth="1"/>
    <col min="11024" max="11264" width="9.109375" style="263"/>
    <col min="11265" max="11265" width="13.88671875" style="263" customWidth="1"/>
    <col min="11266" max="11266" width="14.109375" style="263" customWidth="1"/>
    <col min="11267" max="11267" width="13.44140625" style="263" customWidth="1"/>
    <col min="11268" max="11268" width="60.88671875" style="263" customWidth="1"/>
    <col min="11269" max="11269" width="72.33203125" style="263" customWidth="1"/>
    <col min="11270" max="11270" width="23.5546875" style="263" customWidth="1"/>
    <col min="11271" max="11272" width="23.44140625" style="263" customWidth="1"/>
    <col min="11273" max="11273" width="25.109375" style="263" customWidth="1"/>
    <col min="11274" max="11277" width="0" style="263" hidden="1" customWidth="1"/>
    <col min="11278" max="11278" width="30.5546875" style="263" customWidth="1"/>
    <col min="11279" max="11279" width="0" style="263" hidden="1" customWidth="1"/>
    <col min="11280" max="11520" width="9.109375" style="263"/>
    <col min="11521" max="11521" width="13.88671875" style="263" customWidth="1"/>
    <col min="11522" max="11522" width="14.109375" style="263" customWidth="1"/>
    <col min="11523" max="11523" width="13.44140625" style="263" customWidth="1"/>
    <col min="11524" max="11524" width="60.88671875" style="263" customWidth="1"/>
    <col min="11525" max="11525" width="72.33203125" style="263" customWidth="1"/>
    <col min="11526" max="11526" width="23.5546875" style="263" customWidth="1"/>
    <col min="11527" max="11528" width="23.44140625" style="263" customWidth="1"/>
    <col min="11529" max="11529" width="25.109375" style="263" customWidth="1"/>
    <col min="11530" max="11533" width="0" style="263" hidden="1" customWidth="1"/>
    <col min="11534" max="11534" width="30.5546875" style="263" customWidth="1"/>
    <col min="11535" max="11535" width="0" style="263" hidden="1" customWidth="1"/>
    <col min="11536" max="11776" width="9.109375" style="263"/>
    <col min="11777" max="11777" width="13.88671875" style="263" customWidth="1"/>
    <col min="11778" max="11778" width="14.109375" style="263" customWidth="1"/>
    <col min="11779" max="11779" width="13.44140625" style="263" customWidth="1"/>
    <col min="11780" max="11780" width="60.88671875" style="263" customWidth="1"/>
    <col min="11781" max="11781" width="72.33203125" style="263" customWidth="1"/>
    <col min="11782" max="11782" width="23.5546875" style="263" customWidth="1"/>
    <col min="11783" max="11784" width="23.44140625" style="263" customWidth="1"/>
    <col min="11785" max="11785" width="25.109375" style="263" customWidth="1"/>
    <col min="11786" max="11789" width="0" style="263" hidden="1" customWidth="1"/>
    <col min="11790" max="11790" width="30.5546875" style="263" customWidth="1"/>
    <col min="11791" max="11791" width="0" style="263" hidden="1" customWidth="1"/>
    <col min="11792" max="12032" width="9.109375" style="263"/>
    <col min="12033" max="12033" width="13.88671875" style="263" customWidth="1"/>
    <col min="12034" max="12034" width="14.109375" style="263" customWidth="1"/>
    <col min="12035" max="12035" width="13.44140625" style="263" customWidth="1"/>
    <col min="12036" max="12036" width="60.88671875" style="263" customWidth="1"/>
    <col min="12037" max="12037" width="72.33203125" style="263" customWidth="1"/>
    <col min="12038" max="12038" width="23.5546875" style="263" customWidth="1"/>
    <col min="12039" max="12040" width="23.44140625" style="263" customWidth="1"/>
    <col min="12041" max="12041" width="25.109375" style="263" customWidth="1"/>
    <col min="12042" max="12045" width="0" style="263" hidden="1" customWidth="1"/>
    <col min="12046" max="12046" width="30.5546875" style="263" customWidth="1"/>
    <col min="12047" max="12047" width="0" style="263" hidden="1" customWidth="1"/>
    <col min="12048" max="12288" width="9.109375" style="263"/>
    <col min="12289" max="12289" width="13.88671875" style="263" customWidth="1"/>
    <col min="12290" max="12290" width="14.109375" style="263" customWidth="1"/>
    <col min="12291" max="12291" width="13.44140625" style="263" customWidth="1"/>
    <col min="12292" max="12292" width="60.88671875" style="263" customWidth="1"/>
    <col min="12293" max="12293" width="72.33203125" style="263" customWidth="1"/>
    <col min="12294" max="12294" width="23.5546875" style="263" customWidth="1"/>
    <col min="12295" max="12296" width="23.44140625" style="263" customWidth="1"/>
    <col min="12297" max="12297" width="25.109375" style="263" customWidth="1"/>
    <col min="12298" max="12301" width="0" style="263" hidden="1" customWidth="1"/>
    <col min="12302" max="12302" width="30.5546875" style="263" customWidth="1"/>
    <col min="12303" max="12303" width="0" style="263" hidden="1" customWidth="1"/>
    <col min="12304" max="12544" width="9.109375" style="263"/>
    <col min="12545" max="12545" width="13.88671875" style="263" customWidth="1"/>
    <col min="12546" max="12546" width="14.109375" style="263" customWidth="1"/>
    <col min="12547" max="12547" width="13.44140625" style="263" customWidth="1"/>
    <col min="12548" max="12548" width="60.88671875" style="263" customWidth="1"/>
    <col min="12549" max="12549" width="72.33203125" style="263" customWidth="1"/>
    <col min="12550" max="12550" width="23.5546875" style="263" customWidth="1"/>
    <col min="12551" max="12552" width="23.44140625" style="263" customWidth="1"/>
    <col min="12553" max="12553" width="25.109375" style="263" customWidth="1"/>
    <col min="12554" max="12557" width="0" style="263" hidden="1" customWidth="1"/>
    <col min="12558" max="12558" width="30.5546875" style="263" customWidth="1"/>
    <col min="12559" max="12559" width="0" style="263" hidden="1" customWidth="1"/>
    <col min="12560" max="12800" width="9.109375" style="263"/>
    <col min="12801" max="12801" width="13.88671875" style="263" customWidth="1"/>
    <col min="12802" max="12802" width="14.109375" style="263" customWidth="1"/>
    <col min="12803" max="12803" width="13.44140625" style="263" customWidth="1"/>
    <col min="12804" max="12804" width="60.88671875" style="263" customWidth="1"/>
    <col min="12805" max="12805" width="72.33203125" style="263" customWidth="1"/>
    <col min="12806" max="12806" width="23.5546875" style="263" customWidth="1"/>
    <col min="12807" max="12808" width="23.44140625" style="263" customWidth="1"/>
    <col min="12809" max="12809" width="25.109375" style="263" customWidth="1"/>
    <col min="12810" max="12813" width="0" style="263" hidden="1" customWidth="1"/>
    <col min="12814" max="12814" width="30.5546875" style="263" customWidth="1"/>
    <col min="12815" max="12815" width="0" style="263" hidden="1" customWidth="1"/>
    <col min="12816" max="13056" width="9.109375" style="263"/>
    <col min="13057" max="13057" width="13.88671875" style="263" customWidth="1"/>
    <col min="13058" max="13058" width="14.109375" style="263" customWidth="1"/>
    <col min="13059" max="13059" width="13.44140625" style="263" customWidth="1"/>
    <col min="13060" max="13060" width="60.88671875" style="263" customWidth="1"/>
    <col min="13061" max="13061" width="72.33203125" style="263" customWidth="1"/>
    <col min="13062" max="13062" width="23.5546875" style="263" customWidth="1"/>
    <col min="13063" max="13064" width="23.44140625" style="263" customWidth="1"/>
    <col min="13065" max="13065" width="25.109375" style="263" customWidth="1"/>
    <col min="13066" max="13069" width="0" style="263" hidden="1" customWidth="1"/>
    <col min="13070" max="13070" width="30.5546875" style="263" customWidth="1"/>
    <col min="13071" max="13071" width="0" style="263" hidden="1" customWidth="1"/>
    <col min="13072" max="13312" width="9.109375" style="263"/>
    <col min="13313" max="13313" width="13.88671875" style="263" customWidth="1"/>
    <col min="13314" max="13314" width="14.109375" style="263" customWidth="1"/>
    <col min="13315" max="13315" width="13.44140625" style="263" customWidth="1"/>
    <col min="13316" max="13316" width="60.88671875" style="263" customWidth="1"/>
    <col min="13317" max="13317" width="72.33203125" style="263" customWidth="1"/>
    <col min="13318" max="13318" width="23.5546875" style="263" customWidth="1"/>
    <col min="13319" max="13320" width="23.44140625" style="263" customWidth="1"/>
    <col min="13321" max="13321" width="25.109375" style="263" customWidth="1"/>
    <col min="13322" max="13325" width="0" style="263" hidden="1" customWidth="1"/>
    <col min="13326" max="13326" width="30.5546875" style="263" customWidth="1"/>
    <col min="13327" max="13327" width="0" style="263" hidden="1" customWidth="1"/>
    <col min="13328" max="13568" width="9.109375" style="263"/>
    <col min="13569" max="13569" width="13.88671875" style="263" customWidth="1"/>
    <col min="13570" max="13570" width="14.109375" style="263" customWidth="1"/>
    <col min="13571" max="13571" width="13.44140625" style="263" customWidth="1"/>
    <col min="13572" max="13572" width="60.88671875" style="263" customWidth="1"/>
    <col min="13573" max="13573" width="72.33203125" style="263" customWidth="1"/>
    <col min="13574" max="13574" width="23.5546875" style="263" customWidth="1"/>
    <col min="13575" max="13576" width="23.44140625" style="263" customWidth="1"/>
    <col min="13577" max="13577" width="25.109375" style="263" customWidth="1"/>
    <col min="13578" max="13581" width="0" style="263" hidden="1" customWidth="1"/>
    <col min="13582" max="13582" width="30.5546875" style="263" customWidth="1"/>
    <col min="13583" max="13583" width="0" style="263" hidden="1" customWidth="1"/>
    <col min="13584" max="13824" width="9.109375" style="263"/>
    <col min="13825" max="13825" width="13.88671875" style="263" customWidth="1"/>
    <col min="13826" max="13826" width="14.109375" style="263" customWidth="1"/>
    <col min="13827" max="13827" width="13.44140625" style="263" customWidth="1"/>
    <col min="13828" max="13828" width="60.88671875" style="263" customWidth="1"/>
    <col min="13829" max="13829" width="72.33203125" style="263" customWidth="1"/>
    <col min="13830" max="13830" width="23.5546875" style="263" customWidth="1"/>
    <col min="13831" max="13832" width="23.44140625" style="263" customWidth="1"/>
    <col min="13833" max="13833" width="25.109375" style="263" customWidth="1"/>
    <col min="13834" max="13837" width="0" style="263" hidden="1" customWidth="1"/>
    <col min="13838" max="13838" width="30.5546875" style="263" customWidth="1"/>
    <col min="13839" max="13839" width="0" style="263" hidden="1" customWidth="1"/>
    <col min="13840" max="14080" width="9.109375" style="263"/>
    <col min="14081" max="14081" width="13.88671875" style="263" customWidth="1"/>
    <col min="14082" max="14082" width="14.109375" style="263" customWidth="1"/>
    <col min="14083" max="14083" width="13.44140625" style="263" customWidth="1"/>
    <col min="14084" max="14084" width="60.88671875" style="263" customWidth="1"/>
    <col min="14085" max="14085" width="72.33203125" style="263" customWidth="1"/>
    <col min="14086" max="14086" width="23.5546875" style="263" customWidth="1"/>
    <col min="14087" max="14088" width="23.44140625" style="263" customWidth="1"/>
    <col min="14089" max="14089" width="25.109375" style="263" customWidth="1"/>
    <col min="14090" max="14093" width="0" style="263" hidden="1" customWidth="1"/>
    <col min="14094" max="14094" width="30.5546875" style="263" customWidth="1"/>
    <col min="14095" max="14095" width="0" style="263" hidden="1" customWidth="1"/>
    <col min="14096" max="14336" width="9.109375" style="263"/>
    <col min="14337" max="14337" width="13.88671875" style="263" customWidth="1"/>
    <col min="14338" max="14338" width="14.109375" style="263" customWidth="1"/>
    <col min="14339" max="14339" width="13.44140625" style="263" customWidth="1"/>
    <col min="14340" max="14340" width="60.88671875" style="263" customWidth="1"/>
    <col min="14341" max="14341" width="72.33203125" style="263" customWidth="1"/>
    <col min="14342" max="14342" width="23.5546875" style="263" customWidth="1"/>
    <col min="14343" max="14344" width="23.44140625" style="263" customWidth="1"/>
    <col min="14345" max="14345" width="25.109375" style="263" customWidth="1"/>
    <col min="14346" max="14349" width="0" style="263" hidden="1" customWidth="1"/>
    <col min="14350" max="14350" width="30.5546875" style="263" customWidth="1"/>
    <col min="14351" max="14351" width="0" style="263" hidden="1" customWidth="1"/>
    <col min="14352" max="14592" width="9.109375" style="263"/>
    <col min="14593" max="14593" width="13.88671875" style="263" customWidth="1"/>
    <col min="14594" max="14594" width="14.109375" style="263" customWidth="1"/>
    <col min="14595" max="14595" width="13.44140625" style="263" customWidth="1"/>
    <col min="14596" max="14596" width="60.88671875" style="263" customWidth="1"/>
    <col min="14597" max="14597" width="72.33203125" style="263" customWidth="1"/>
    <col min="14598" max="14598" width="23.5546875" style="263" customWidth="1"/>
    <col min="14599" max="14600" width="23.44140625" style="263" customWidth="1"/>
    <col min="14601" max="14601" width="25.109375" style="263" customWidth="1"/>
    <col min="14602" max="14605" width="0" style="263" hidden="1" customWidth="1"/>
    <col min="14606" max="14606" width="30.5546875" style="263" customWidth="1"/>
    <col min="14607" max="14607" width="0" style="263" hidden="1" customWidth="1"/>
    <col min="14608" max="14848" width="9.109375" style="263"/>
    <col min="14849" max="14849" width="13.88671875" style="263" customWidth="1"/>
    <col min="14850" max="14850" width="14.109375" style="263" customWidth="1"/>
    <col min="14851" max="14851" width="13.44140625" style="263" customWidth="1"/>
    <col min="14852" max="14852" width="60.88671875" style="263" customWidth="1"/>
    <col min="14853" max="14853" width="72.33203125" style="263" customWidth="1"/>
    <col min="14854" max="14854" width="23.5546875" style="263" customWidth="1"/>
    <col min="14855" max="14856" width="23.44140625" style="263" customWidth="1"/>
    <col min="14857" max="14857" width="25.109375" style="263" customWidth="1"/>
    <col min="14858" max="14861" width="0" style="263" hidden="1" customWidth="1"/>
    <col min="14862" max="14862" width="30.5546875" style="263" customWidth="1"/>
    <col min="14863" max="14863" width="0" style="263" hidden="1" customWidth="1"/>
    <col min="14864" max="15104" width="9.109375" style="263"/>
    <col min="15105" max="15105" width="13.88671875" style="263" customWidth="1"/>
    <col min="15106" max="15106" width="14.109375" style="263" customWidth="1"/>
    <col min="15107" max="15107" width="13.44140625" style="263" customWidth="1"/>
    <col min="15108" max="15108" width="60.88671875" style="263" customWidth="1"/>
    <col min="15109" max="15109" width="72.33203125" style="263" customWidth="1"/>
    <col min="15110" max="15110" width="23.5546875" style="263" customWidth="1"/>
    <col min="15111" max="15112" width="23.44140625" style="263" customWidth="1"/>
    <col min="15113" max="15113" width="25.109375" style="263" customWidth="1"/>
    <col min="15114" max="15117" width="0" style="263" hidden="1" customWidth="1"/>
    <col min="15118" max="15118" width="30.5546875" style="263" customWidth="1"/>
    <col min="15119" max="15119" width="0" style="263" hidden="1" customWidth="1"/>
    <col min="15120" max="15360" width="9.109375" style="263"/>
    <col min="15361" max="15361" width="13.88671875" style="263" customWidth="1"/>
    <col min="15362" max="15362" width="14.109375" style="263" customWidth="1"/>
    <col min="15363" max="15363" width="13.44140625" style="263" customWidth="1"/>
    <col min="15364" max="15364" width="60.88671875" style="263" customWidth="1"/>
    <col min="15365" max="15365" width="72.33203125" style="263" customWidth="1"/>
    <col min="15366" max="15366" width="23.5546875" style="263" customWidth="1"/>
    <col min="15367" max="15368" width="23.44140625" style="263" customWidth="1"/>
    <col min="15369" max="15369" width="25.109375" style="263" customWidth="1"/>
    <col min="15370" max="15373" width="0" style="263" hidden="1" customWidth="1"/>
    <col min="15374" max="15374" width="30.5546875" style="263" customWidth="1"/>
    <col min="15375" max="15375" width="0" style="263" hidden="1" customWidth="1"/>
    <col min="15376" max="15616" width="9.109375" style="263"/>
    <col min="15617" max="15617" width="13.88671875" style="263" customWidth="1"/>
    <col min="15618" max="15618" width="14.109375" style="263" customWidth="1"/>
    <col min="15619" max="15619" width="13.44140625" style="263" customWidth="1"/>
    <col min="15620" max="15620" width="60.88671875" style="263" customWidth="1"/>
    <col min="15621" max="15621" width="72.33203125" style="263" customWidth="1"/>
    <col min="15622" max="15622" width="23.5546875" style="263" customWidth="1"/>
    <col min="15623" max="15624" width="23.44140625" style="263" customWidth="1"/>
    <col min="15625" max="15625" width="25.109375" style="263" customWidth="1"/>
    <col min="15626" max="15629" width="0" style="263" hidden="1" customWidth="1"/>
    <col min="15630" max="15630" width="30.5546875" style="263" customWidth="1"/>
    <col min="15631" max="15631" width="0" style="263" hidden="1" customWidth="1"/>
    <col min="15632" max="15872" width="9.109375" style="263"/>
    <col min="15873" max="15873" width="13.88671875" style="263" customWidth="1"/>
    <col min="15874" max="15874" width="14.109375" style="263" customWidth="1"/>
    <col min="15875" max="15875" width="13.44140625" style="263" customWidth="1"/>
    <col min="15876" max="15876" width="60.88671875" style="263" customWidth="1"/>
    <col min="15877" max="15877" width="72.33203125" style="263" customWidth="1"/>
    <col min="15878" max="15878" width="23.5546875" style="263" customWidth="1"/>
    <col min="15879" max="15880" width="23.44140625" style="263" customWidth="1"/>
    <col min="15881" max="15881" width="25.109375" style="263" customWidth="1"/>
    <col min="15882" max="15885" width="0" style="263" hidden="1" customWidth="1"/>
    <col min="15886" max="15886" width="30.5546875" style="263" customWidth="1"/>
    <col min="15887" max="15887" width="0" style="263" hidden="1" customWidth="1"/>
    <col min="15888" max="16128" width="9.109375" style="263"/>
    <col min="16129" max="16129" width="13.88671875" style="263" customWidth="1"/>
    <col min="16130" max="16130" width="14.109375" style="263" customWidth="1"/>
    <col min="16131" max="16131" width="13.44140625" style="263" customWidth="1"/>
    <col min="16132" max="16132" width="60.88671875" style="263" customWidth="1"/>
    <col min="16133" max="16133" width="72.33203125" style="263" customWidth="1"/>
    <col min="16134" max="16134" width="23.5546875" style="263" customWidth="1"/>
    <col min="16135" max="16136" width="23.44140625" style="263" customWidth="1"/>
    <col min="16137" max="16137" width="25.109375" style="263" customWidth="1"/>
    <col min="16138" max="16141" width="0" style="263" hidden="1" customWidth="1"/>
    <col min="16142" max="16142" width="30.5546875" style="263" customWidth="1"/>
    <col min="16143" max="16143" width="0" style="263" hidden="1" customWidth="1"/>
    <col min="16144" max="16384" width="9.109375" style="263"/>
  </cols>
  <sheetData>
    <row r="1" spans="1:14" ht="21" x14ac:dyDescent="0.4">
      <c r="G1" s="923" t="s">
        <v>523</v>
      </c>
      <c r="H1" s="923"/>
      <c r="I1" s="923"/>
      <c r="J1" s="923"/>
    </row>
    <row r="2" spans="1:14" ht="21" x14ac:dyDescent="0.4">
      <c r="D2" s="269"/>
      <c r="G2" s="270" t="s">
        <v>866</v>
      </c>
      <c r="H2" s="270"/>
      <c r="I2" s="270"/>
      <c r="J2" s="270"/>
    </row>
    <row r="3" spans="1:14" s="271" customFormat="1" ht="21" customHeight="1" x14ac:dyDescent="0.4">
      <c r="B3" s="264"/>
      <c r="C3" s="272"/>
      <c r="D3" s="273"/>
      <c r="E3" s="273"/>
      <c r="F3" s="274"/>
      <c r="G3" s="270" t="s">
        <v>1025</v>
      </c>
      <c r="H3" s="270"/>
      <c r="I3" s="270"/>
      <c r="J3" s="270"/>
      <c r="K3" s="274"/>
      <c r="L3" s="274"/>
      <c r="M3" s="274"/>
      <c r="N3" s="274"/>
    </row>
    <row r="4" spans="1:14" s="275" customFormat="1" ht="55.5" customHeight="1" x14ac:dyDescent="0.3">
      <c r="A4" s="924" t="s">
        <v>524</v>
      </c>
      <c r="B4" s="924"/>
      <c r="C4" s="924"/>
      <c r="D4" s="924"/>
      <c r="E4" s="924"/>
      <c r="F4" s="924"/>
      <c r="G4" s="924"/>
      <c r="H4" s="924"/>
      <c r="I4" s="924"/>
      <c r="J4" s="924"/>
      <c r="K4" s="924"/>
      <c r="L4" s="924"/>
      <c r="M4" s="924"/>
      <c r="N4" s="924"/>
    </row>
    <row r="5" spans="1:14" s="275" customFormat="1" ht="27.75" customHeight="1" x14ac:dyDescent="0.3">
      <c r="A5" s="925">
        <v>11503000000</v>
      </c>
      <c r="B5" s="925"/>
      <c r="C5" s="925"/>
      <c r="D5" s="276"/>
      <c r="E5" s="276"/>
      <c r="F5" s="277"/>
      <c r="I5" s="277"/>
      <c r="J5" s="277"/>
      <c r="K5" s="277"/>
      <c r="L5" s="277"/>
      <c r="M5" s="277"/>
      <c r="N5" s="277"/>
    </row>
    <row r="6" spans="1:14" s="275" customFormat="1" ht="27.75" customHeight="1" thickBot="1" x14ac:dyDescent="0.35">
      <c r="A6" s="926" t="s">
        <v>2</v>
      </c>
      <c r="B6" s="926"/>
      <c r="C6" s="926"/>
      <c r="D6" s="276"/>
      <c r="E6" s="276"/>
      <c r="F6" s="277"/>
      <c r="I6" s="277"/>
      <c r="J6" s="277"/>
      <c r="K6" s="277"/>
      <c r="L6" s="277"/>
      <c r="M6" s="277"/>
      <c r="N6" s="17" t="s">
        <v>3</v>
      </c>
    </row>
    <row r="7" spans="1:14" s="129" customFormat="1" ht="26.25" customHeight="1" thickBot="1" x14ac:dyDescent="0.35">
      <c r="A7" s="927" t="s">
        <v>525</v>
      </c>
      <c r="B7" s="929" t="s">
        <v>526</v>
      </c>
      <c r="C7" s="927" t="s">
        <v>527</v>
      </c>
      <c r="D7" s="931" t="s">
        <v>528</v>
      </c>
      <c r="E7" s="933" t="s">
        <v>529</v>
      </c>
      <c r="F7" s="935" t="s">
        <v>530</v>
      </c>
      <c r="G7" s="917" t="s">
        <v>531</v>
      </c>
      <c r="H7" s="919" t="s">
        <v>532</v>
      </c>
      <c r="I7" s="921" t="s">
        <v>533</v>
      </c>
      <c r="J7" s="939" t="s">
        <v>534</v>
      </c>
      <c r="K7" s="940"/>
      <c r="L7" s="940"/>
      <c r="M7" s="941"/>
      <c r="N7" s="937" t="s">
        <v>535</v>
      </c>
    </row>
    <row r="8" spans="1:14" s="129" customFormat="1" ht="134.25" customHeight="1" thickBot="1" x14ac:dyDescent="0.35">
      <c r="A8" s="928"/>
      <c r="B8" s="930"/>
      <c r="C8" s="928"/>
      <c r="D8" s="932"/>
      <c r="E8" s="934"/>
      <c r="F8" s="936"/>
      <c r="G8" s="918"/>
      <c r="H8" s="920"/>
      <c r="I8" s="922"/>
      <c r="J8" s="612"/>
      <c r="K8" s="612"/>
      <c r="L8" s="611"/>
      <c r="M8" s="612"/>
      <c r="N8" s="938"/>
    </row>
    <row r="9" spans="1:14" s="278" customFormat="1" ht="18.75" customHeight="1" thickBot="1" x14ac:dyDescent="0.35">
      <c r="A9" s="527" t="s">
        <v>382</v>
      </c>
      <c r="B9" s="527">
        <v>2</v>
      </c>
      <c r="C9" s="527">
        <v>3</v>
      </c>
      <c r="D9" s="528">
        <v>4</v>
      </c>
      <c r="E9" s="527">
        <v>5</v>
      </c>
      <c r="F9" s="528">
        <v>6</v>
      </c>
      <c r="G9" s="527">
        <v>7</v>
      </c>
      <c r="H9" s="529"/>
      <c r="I9" s="529">
        <v>8</v>
      </c>
      <c r="J9" s="527">
        <v>9</v>
      </c>
      <c r="K9" s="527">
        <v>10</v>
      </c>
      <c r="L9" s="527">
        <v>11</v>
      </c>
      <c r="M9" s="527">
        <v>11</v>
      </c>
      <c r="N9" s="527">
        <v>9</v>
      </c>
    </row>
    <row r="10" spans="1:14" s="279" customFormat="1" ht="39" customHeight="1" x14ac:dyDescent="0.3">
      <c r="A10" s="547" t="s">
        <v>15</v>
      </c>
      <c r="B10" s="548"/>
      <c r="C10" s="549"/>
      <c r="D10" s="550" t="s">
        <v>697</v>
      </c>
      <c r="E10" s="551"/>
      <c r="F10" s="552"/>
      <c r="G10" s="552"/>
      <c r="H10" s="552"/>
      <c r="I10" s="553">
        <f>I11</f>
        <v>2735382</v>
      </c>
      <c r="J10" s="552" t="s">
        <v>496</v>
      </c>
      <c r="K10" s="552" t="s">
        <v>496</v>
      </c>
      <c r="L10" s="552" t="s">
        <v>496</v>
      </c>
      <c r="M10" s="552" t="s">
        <v>496</v>
      </c>
      <c r="N10" s="554"/>
    </row>
    <row r="11" spans="1:14" s="279" customFormat="1" ht="23.4" thickBot="1" x14ac:dyDescent="0.35">
      <c r="A11" s="555" t="s">
        <v>385</v>
      </c>
      <c r="B11" s="556"/>
      <c r="C11" s="556"/>
      <c r="D11" s="557" t="s">
        <v>697</v>
      </c>
      <c r="E11" s="558"/>
      <c r="F11" s="559"/>
      <c r="G11" s="560"/>
      <c r="H11" s="560"/>
      <c r="I11" s="560">
        <f>I23+I82+I97+I17</f>
        <v>2735382</v>
      </c>
      <c r="J11" s="561">
        <v>28362700</v>
      </c>
      <c r="K11" s="562">
        <v>0</v>
      </c>
      <c r="L11" s="562">
        <v>0</v>
      </c>
      <c r="M11" s="562">
        <v>0</v>
      </c>
      <c r="N11" s="563">
        <v>0</v>
      </c>
    </row>
    <row r="12" spans="1:14" s="279" customFormat="1" ht="59.25" hidden="1" customHeight="1" x14ac:dyDescent="0.3">
      <c r="A12" s="564"/>
      <c r="B12" s="539"/>
      <c r="C12" s="539"/>
      <c r="D12" s="540"/>
      <c r="E12" s="541"/>
      <c r="F12" s="542"/>
      <c r="G12" s="543"/>
      <c r="H12" s="543"/>
      <c r="I12" s="544">
        <v>0</v>
      </c>
      <c r="J12" s="545">
        <v>0</v>
      </c>
      <c r="K12" s="546"/>
      <c r="L12" s="546"/>
      <c r="M12" s="546"/>
      <c r="N12" s="565"/>
    </row>
    <row r="13" spans="1:14" s="279" customFormat="1" ht="59.25" hidden="1" customHeight="1" x14ac:dyDescent="0.3">
      <c r="A13" s="566"/>
      <c r="B13" s="530"/>
      <c r="C13" s="530"/>
      <c r="D13" s="531"/>
      <c r="E13" s="532"/>
      <c r="F13" s="533"/>
      <c r="G13" s="534"/>
      <c r="H13" s="534"/>
      <c r="I13" s="307">
        <v>0</v>
      </c>
      <c r="J13" s="535">
        <v>0</v>
      </c>
      <c r="K13" s="309"/>
      <c r="L13" s="309"/>
      <c r="M13" s="309"/>
      <c r="N13" s="567"/>
    </row>
    <row r="14" spans="1:14" s="279" customFormat="1" ht="59.25" hidden="1" customHeight="1" x14ac:dyDescent="0.3">
      <c r="A14" s="566"/>
      <c r="B14" s="530"/>
      <c r="C14" s="530"/>
      <c r="D14" s="531"/>
      <c r="E14" s="532"/>
      <c r="F14" s="533"/>
      <c r="G14" s="534"/>
      <c r="H14" s="534"/>
      <c r="I14" s="307"/>
      <c r="J14" s="535"/>
      <c r="K14" s="309"/>
      <c r="L14" s="309"/>
      <c r="M14" s="309"/>
      <c r="N14" s="567"/>
    </row>
    <row r="15" spans="1:14" s="279" customFormat="1" ht="59.25" hidden="1" customHeight="1" x14ac:dyDescent="0.3">
      <c r="A15" s="566"/>
      <c r="B15" s="530"/>
      <c r="C15" s="530"/>
      <c r="D15" s="531"/>
      <c r="E15" s="532"/>
      <c r="F15" s="533"/>
      <c r="G15" s="534"/>
      <c r="H15" s="534"/>
      <c r="I15" s="307">
        <v>0</v>
      </c>
      <c r="J15" s="535" t="e">
        <v>#REF!</v>
      </c>
      <c r="K15" s="309"/>
      <c r="L15" s="309"/>
      <c r="M15" s="309" t="e">
        <v>#REF!</v>
      </c>
      <c r="N15" s="567"/>
    </row>
    <row r="16" spans="1:14" s="279" customFormat="1" ht="59.25" hidden="1" customHeight="1" x14ac:dyDescent="0.3">
      <c r="A16" s="566"/>
      <c r="B16" s="530"/>
      <c r="C16" s="530"/>
      <c r="D16" s="531"/>
      <c r="E16" s="532"/>
      <c r="F16" s="533"/>
      <c r="G16" s="534"/>
      <c r="H16" s="534"/>
      <c r="I16" s="307">
        <v>0</v>
      </c>
      <c r="J16" s="535">
        <v>0</v>
      </c>
      <c r="K16" s="309"/>
      <c r="L16" s="309"/>
      <c r="M16" s="309"/>
      <c r="N16" s="567"/>
    </row>
    <row r="17" spans="1:14" s="279" customFormat="1" ht="59.25" hidden="1" customHeight="1" x14ac:dyDescent="0.3">
      <c r="A17" s="566" t="s">
        <v>536</v>
      </c>
      <c r="B17" s="530" t="s">
        <v>537</v>
      </c>
      <c r="C17" s="530" t="s">
        <v>172</v>
      </c>
      <c r="D17" s="531" t="s">
        <v>538</v>
      </c>
      <c r="E17" s="532"/>
      <c r="F17" s="533"/>
      <c r="G17" s="534"/>
      <c r="H17" s="534"/>
      <c r="I17" s="534">
        <f>I19</f>
        <v>0</v>
      </c>
      <c r="J17" s="535">
        <v>0</v>
      </c>
      <c r="K17" s="309">
        <v>0</v>
      </c>
      <c r="L17" s="309"/>
      <c r="M17" s="309">
        <v>0</v>
      </c>
      <c r="N17" s="567"/>
    </row>
    <row r="18" spans="1:14" s="279" customFormat="1" ht="21" hidden="1" x14ac:dyDescent="0.3">
      <c r="A18" s="566"/>
      <c r="B18" s="530"/>
      <c r="C18" s="530"/>
      <c r="D18" s="531" t="s">
        <v>539</v>
      </c>
      <c r="E18" s="532"/>
      <c r="F18" s="533"/>
      <c r="G18" s="534"/>
      <c r="H18" s="534"/>
      <c r="I18" s="534"/>
      <c r="J18" s="535"/>
      <c r="K18" s="309"/>
      <c r="L18" s="309"/>
      <c r="M18" s="309"/>
      <c r="N18" s="567"/>
    </row>
    <row r="19" spans="1:14" s="279" customFormat="1" ht="74.25" hidden="1" customHeight="1" x14ac:dyDescent="0.3">
      <c r="A19" s="566"/>
      <c r="B19" s="530"/>
      <c r="C19" s="530"/>
      <c r="D19" s="531"/>
      <c r="E19" s="532"/>
      <c r="F19" s="306"/>
      <c r="G19" s="534"/>
      <c r="H19" s="534"/>
      <c r="I19" s="307"/>
      <c r="J19" s="535"/>
      <c r="K19" s="309"/>
      <c r="L19" s="309"/>
      <c r="M19" s="309"/>
      <c r="N19" s="310"/>
    </row>
    <row r="20" spans="1:14" s="279" customFormat="1" ht="59.25" hidden="1" customHeight="1" x14ac:dyDescent="0.3">
      <c r="A20" s="566"/>
      <c r="B20" s="530"/>
      <c r="C20" s="530"/>
      <c r="D20" s="531"/>
      <c r="E20" s="532"/>
      <c r="F20" s="533"/>
      <c r="G20" s="534"/>
      <c r="H20" s="534"/>
      <c r="I20" s="307">
        <v>0</v>
      </c>
      <c r="J20" s="535">
        <v>0</v>
      </c>
      <c r="K20" s="309"/>
      <c r="L20" s="309"/>
      <c r="M20" s="309"/>
      <c r="N20" s="567"/>
    </row>
    <row r="21" spans="1:14" s="279" customFormat="1" ht="59.25" hidden="1" customHeight="1" x14ac:dyDescent="0.3">
      <c r="A21" s="566"/>
      <c r="B21" s="530"/>
      <c r="C21" s="531"/>
      <c r="D21" s="531"/>
      <c r="E21" s="532"/>
      <c r="F21" s="533"/>
      <c r="G21" s="534"/>
      <c r="H21" s="534"/>
      <c r="I21" s="307">
        <v>0</v>
      </c>
      <c r="J21" s="535">
        <v>0</v>
      </c>
      <c r="K21" s="309"/>
      <c r="L21" s="309"/>
      <c r="M21" s="309"/>
      <c r="N21" s="567"/>
    </row>
    <row r="22" spans="1:14" s="279" customFormat="1" ht="59.25" hidden="1" customHeight="1" x14ac:dyDescent="0.3">
      <c r="A22" s="566"/>
      <c r="B22" s="530"/>
      <c r="C22" s="530"/>
      <c r="D22" s="531"/>
      <c r="E22" s="532"/>
      <c r="F22" s="533"/>
      <c r="G22" s="534"/>
      <c r="H22" s="534"/>
      <c r="I22" s="307">
        <v>0</v>
      </c>
      <c r="J22" s="535">
        <v>0</v>
      </c>
      <c r="K22" s="309"/>
      <c r="L22" s="309"/>
      <c r="M22" s="309"/>
      <c r="N22" s="567"/>
    </row>
    <row r="23" spans="1:14" s="279" customFormat="1" ht="42" x14ac:dyDescent="0.3">
      <c r="A23" s="566" t="s">
        <v>420</v>
      </c>
      <c r="B23" s="530" t="s">
        <v>421</v>
      </c>
      <c r="C23" s="531" t="s">
        <v>172</v>
      </c>
      <c r="D23" s="532" t="s">
        <v>422</v>
      </c>
      <c r="E23" s="532"/>
      <c r="F23" s="537"/>
      <c r="G23" s="534"/>
      <c r="H23" s="534"/>
      <c r="I23" s="534">
        <f>I25+I26+I27</f>
        <v>1686751</v>
      </c>
      <c r="J23" s="536">
        <v>18362700</v>
      </c>
      <c r="K23" s="309">
        <v>0</v>
      </c>
      <c r="L23" s="309">
        <v>0</v>
      </c>
      <c r="M23" s="309">
        <v>0</v>
      </c>
      <c r="N23" s="567"/>
    </row>
    <row r="24" spans="1:14" s="279" customFormat="1" ht="23.25" customHeight="1" x14ac:dyDescent="0.3">
      <c r="A24" s="566"/>
      <c r="B24" s="530"/>
      <c r="C24" s="530"/>
      <c r="D24" s="531" t="s">
        <v>539</v>
      </c>
      <c r="E24" s="532"/>
      <c r="F24" s="533"/>
      <c r="G24" s="534"/>
      <c r="H24" s="534"/>
      <c r="I24" s="307"/>
      <c r="J24" s="535"/>
      <c r="K24" s="309"/>
      <c r="L24" s="309"/>
      <c r="M24" s="309"/>
      <c r="N24" s="567"/>
    </row>
    <row r="25" spans="1:14" s="279" customFormat="1" ht="152.25" customHeight="1" x14ac:dyDescent="0.3">
      <c r="A25" s="566"/>
      <c r="B25" s="530"/>
      <c r="C25" s="530"/>
      <c r="D25" s="531"/>
      <c r="E25" s="532" t="s">
        <v>661</v>
      </c>
      <c r="F25" s="306" t="s">
        <v>662</v>
      </c>
      <c r="G25" s="534">
        <v>14672816</v>
      </c>
      <c r="H25" s="534">
        <v>12.7</v>
      </c>
      <c r="I25" s="307">
        <v>1277991</v>
      </c>
      <c r="J25" s="536"/>
      <c r="K25" s="309"/>
      <c r="L25" s="309"/>
      <c r="M25" s="309"/>
      <c r="N25" s="310">
        <v>28.5</v>
      </c>
    </row>
    <row r="26" spans="1:14" s="279" customFormat="1" ht="78" customHeight="1" x14ac:dyDescent="0.3">
      <c r="A26" s="566"/>
      <c r="B26" s="530"/>
      <c r="C26" s="530"/>
      <c r="D26" s="531"/>
      <c r="E26" s="538" t="s">
        <v>553</v>
      </c>
      <c r="F26" s="306" t="s">
        <v>757</v>
      </c>
      <c r="G26" s="307">
        <v>5888556</v>
      </c>
      <c r="H26" s="308" t="s">
        <v>663</v>
      </c>
      <c r="I26" s="307">
        <v>214260</v>
      </c>
      <c r="J26" s="309"/>
      <c r="K26" s="309"/>
      <c r="L26" s="309"/>
      <c r="M26" s="309"/>
      <c r="N26" s="310">
        <v>100</v>
      </c>
    </row>
    <row r="27" spans="1:14" s="279" customFormat="1" ht="37.200000000000003" customHeight="1" x14ac:dyDescent="0.3">
      <c r="A27" s="284"/>
      <c r="B27" s="284"/>
      <c r="C27" s="284"/>
      <c r="D27" s="285"/>
      <c r="E27" s="286" t="s">
        <v>717</v>
      </c>
      <c r="F27" s="306"/>
      <c r="G27" s="288"/>
      <c r="H27" s="289"/>
      <c r="I27" s="290">
        <v>194500</v>
      </c>
      <c r="J27" s="292"/>
      <c r="K27" s="292"/>
      <c r="L27" s="292"/>
      <c r="M27" s="292"/>
      <c r="N27" s="292"/>
    </row>
    <row r="28" spans="1:14" s="279" customFormat="1" ht="59.25" hidden="1" customHeight="1" x14ac:dyDescent="0.3">
      <c r="A28" s="284"/>
      <c r="B28" s="284"/>
      <c r="C28" s="284"/>
      <c r="D28" s="285"/>
      <c r="E28" s="286"/>
      <c r="F28" s="311"/>
      <c r="G28" s="288"/>
      <c r="H28" s="289"/>
      <c r="I28" s="290">
        <v>0</v>
      </c>
      <c r="J28" s="292">
        <v>0</v>
      </c>
      <c r="K28" s="292"/>
      <c r="L28" s="292"/>
      <c r="M28" s="292"/>
      <c r="N28" s="292"/>
    </row>
    <row r="29" spans="1:14" s="135" customFormat="1" ht="59.25" hidden="1" customHeight="1" x14ac:dyDescent="0.3">
      <c r="A29" s="293"/>
      <c r="B29" s="293"/>
      <c r="C29" s="293"/>
      <c r="D29" s="294"/>
      <c r="E29" s="295"/>
      <c r="F29" s="312">
        <v>0</v>
      </c>
      <c r="G29" s="313">
        <v>0</v>
      </c>
      <c r="H29" s="313"/>
      <c r="I29" s="297">
        <v>0</v>
      </c>
      <c r="J29" s="300">
        <v>0</v>
      </c>
      <c r="K29" s="314">
        <v>0</v>
      </c>
      <c r="L29" s="314">
        <v>0</v>
      </c>
      <c r="M29" s="314">
        <v>0</v>
      </c>
      <c r="N29" s="314"/>
    </row>
    <row r="30" spans="1:14" s="279" customFormat="1" ht="59.25" hidden="1" customHeight="1" x14ac:dyDescent="0.3">
      <c r="A30" s="293"/>
      <c r="B30" s="293"/>
      <c r="C30" s="293"/>
      <c r="D30" s="294"/>
      <c r="E30" s="295"/>
      <c r="F30" s="315"/>
      <c r="G30" s="297"/>
      <c r="H30" s="298"/>
      <c r="I30" s="290">
        <v>0</v>
      </c>
      <c r="J30" s="316">
        <v>0</v>
      </c>
      <c r="K30" s="292"/>
      <c r="L30" s="292"/>
      <c r="M30" s="292"/>
      <c r="N30" s="292"/>
    </row>
    <row r="31" spans="1:14" s="279" customFormat="1" ht="59.25" hidden="1" customHeight="1" x14ac:dyDescent="0.3">
      <c r="A31" s="293"/>
      <c r="B31" s="293"/>
      <c r="C31" s="293"/>
      <c r="D31" s="294"/>
      <c r="E31" s="295"/>
      <c r="F31" s="315"/>
      <c r="G31" s="297"/>
      <c r="H31" s="298"/>
      <c r="I31" s="290">
        <v>0</v>
      </c>
      <c r="J31" s="291">
        <v>0</v>
      </c>
      <c r="K31" s="292"/>
      <c r="L31" s="292"/>
      <c r="M31" s="292"/>
      <c r="N31" s="292"/>
    </row>
    <row r="32" spans="1:14" s="279" customFormat="1" ht="59.25" hidden="1" customHeight="1" x14ac:dyDescent="0.3">
      <c r="A32" s="293"/>
      <c r="B32" s="293"/>
      <c r="C32" s="293"/>
      <c r="D32" s="294"/>
      <c r="E32" s="295"/>
      <c r="F32" s="315"/>
      <c r="G32" s="297"/>
      <c r="H32" s="298"/>
      <c r="I32" s="290">
        <v>0</v>
      </c>
      <c r="J32" s="317">
        <v>0</v>
      </c>
      <c r="K32" s="318"/>
      <c r="L32" s="318"/>
      <c r="M32" s="318"/>
      <c r="N32" s="318"/>
    </row>
    <row r="33" spans="1:14" s="279" customFormat="1" ht="59.25" hidden="1" customHeight="1" x14ac:dyDescent="0.3">
      <c r="A33" s="284"/>
      <c r="B33" s="284"/>
      <c r="C33" s="284"/>
      <c r="D33" s="319"/>
      <c r="E33" s="286"/>
      <c r="F33" s="305"/>
      <c r="G33" s="288">
        <v>0</v>
      </c>
      <c r="H33" s="288"/>
      <c r="I33" s="288">
        <v>0</v>
      </c>
      <c r="J33" s="291">
        <v>0</v>
      </c>
      <c r="K33" s="292">
        <v>0</v>
      </c>
      <c r="L33" s="292"/>
      <c r="M33" s="292">
        <v>0</v>
      </c>
      <c r="N33" s="292"/>
    </row>
    <row r="34" spans="1:14" s="279" customFormat="1" ht="59.25" hidden="1" customHeight="1" x14ac:dyDescent="0.3">
      <c r="A34" s="320"/>
      <c r="B34" s="284"/>
      <c r="C34" s="320"/>
      <c r="D34" s="319"/>
      <c r="E34" s="286"/>
      <c r="F34" s="321"/>
      <c r="G34" s="322"/>
      <c r="H34" s="323"/>
      <c r="I34" s="323"/>
      <c r="J34" s="324"/>
      <c r="K34" s="325"/>
      <c r="L34" s="325"/>
      <c r="M34" s="325"/>
      <c r="N34" s="325"/>
    </row>
    <row r="35" spans="1:14" s="279" customFormat="1" ht="59.25" hidden="1" customHeight="1" x14ac:dyDescent="0.3">
      <c r="A35" s="320"/>
      <c r="B35" s="284"/>
      <c r="C35" s="320"/>
      <c r="D35" s="319"/>
      <c r="E35" s="286"/>
      <c r="F35" s="311"/>
      <c r="G35" s="288"/>
      <c r="H35" s="289"/>
      <c r="I35" s="290">
        <v>0</v>
      </c>
      <c r="J35" s="291">
        <v>0</v>
      </c>
      <c r="K35" s="326"/>
      <c r="L35" s="326"/>
      <c r="M35" s="326"/>
      <c r="N35" s="327"/>
    </row>
    <row r="36" spans="1:14" s="279" customFormat="1" ht="59.25" hidden="1" customHeight="1" x14ac:dyDescent="0.3">
      <c r="A36" s="328"/>
      <c r="B36" s="293"/>
      <c r="C36" s="328"/>
      <c r="D36" s="329"/>
      <c r="E36" s="295"/>
      <c r="F36" s="315"/>
      <c r="G36" s="297"/>
      <c r="H36" s="280"/>
      <c r="I36" s="281">
        <v>0</v>
      </c>
      <c r="J36" s="282">
        <v>0</v>
      </c>
      <c r="K36" s="326"/>
      <c r="L36" s="326"/>
      <c r="M36" s="326"/>
      <c r="N36" s="326"/>
    </row>
    <row r="37" spans="1:14" s="279" customFormat="1" ht="59.25" hidden="1" customHeight="1" x14ac:dyDescent="0.3">
      <c r="A37" s="328"/>
      <c r="B37" s="293"/>
      <c r="C37" s="328"/>
      <c r="D37" s="329"/>
      <c r="E37" s="295"/>
      <c r="F37" s="315"/>
      <c r="G37" s="297"/>
      <c r="H37" s="298"/>
      <c r="I37" s="290">
        <v>0</v>
      </c>
      <c r="J37" s="282">
        <v>0</v>
      </c>
      <c r="K37" s="326"/>
      <c r="L37" s="326"/>
      <c r="M37" s="326"/>
      <c r="N37" s="326"/>
    </row>
    <row r="38" spans="1:14" s="279" customFormat="1" ht="59.25" hidden="1" customHeight="1" x14ac:dyDescent="0.3">
      <c r="A38" s="320"/>
      <c r="B38" s="284"/>
      <c r="C38" s="320"/>
      <c r="D38" s="330"/>
      <c r="E38" s="286"/>
      <c r="F38" s="311"/>
      <c r="G38" s="288"/>
      <c r="H38" s="289"/>
      <c r="I38" s="290">
        <v>0</v>
      </c>
      <c r="J38" s="291">
        <v>0</v>
      </c>
      <c r="K38" s="326"/>
      <c r="L38" s="326"/>
      <c r="M38" s="326"/>
      <c r="N38" s="326"/>
    </row>
    <row r="39" spans="1:14" s="279" customFormat="1" ht="59.25" hidden="1" customHeight="1" x14ac:dyDescent="0.3">
      <c r="A39" s="328"/>
      <c r="B39" s="293"/>
      <c r="C39" s="328"/>
      <c r="D39" s="329"/>
      <c r="E39" s="295"/>
      <c r="F39" s="315"/>
      <c r="G39" s="297"/>
      <c r="H39" s="298"/>
      <c r="I39" s="290">
        <v>0</v>
      </c>
      <c r="J39" s="283">
        <v>0</v>
      </c>
      <c r="K39" s="331"/>
      <c r="L39" s="331"/>
      <c r="M39" s="331"/>
      <c r="N39" s="331"/>
    </row>
    <row r="40" spans="1:14" s="279" customFormat="1" ht="59.25" hidden="1" customHeight="1" x14ac:dyDescent="0.3">
      <c r="A40" s="293"/>
      <c r="B40" s="293"/>
      <c r="C40" s="293"/>
      <c r="D40" s="332"/>
      <c r="E40" s="295"/>
      <c r="F40" s="315"/>
      <c r="G40" s="297"/>
      <c r="H40" s="298"/>
      <c r="I40" s="290">
        <v>0</v>
      </c>
      <c r="J40" s="283">
        <v>0</v>
      </c>
      <c r="K40" s="331"/>
      <c r="L40" s="331"/>
      <c r="M40" s="331"/>
      <c r="N40" s="331"/>
    </row>
    <row r="41" spans="1:14" s="279" customFormat="1" ht="59.25" hidden="1" customHeight="1" x14ac:dyDescent="0.3">
      <c r="A41" s="293"/>
      <c r="B41" s="293"/>
      <c r="C41" s="293"/>
      <c r="D41" s="294"/>
      <c r="E41" s="295"/>
      <c r="F41" s="333">
        <v>0</v>
      </c>
      <c r="G41" s="297">
        <v>0</v>
      </c>
      <c r="H41" s="297"/>
      <c r="I41" s="297">
        <v>0</v>
      </c>
      <c r="J41" s="301">
        <v>0</v>
      </c>
      <c r="K41" s="301">
        <v>0</v>
      </c>
      <c r="L41" s="301">
        <v>0</v>
      </c>
      <c r="M41" s="301">
        <v>0</v>
      </c>
      <c r="N41" s="301"/>
    </row>
    <row r="42" spans="1:14" s="279" customFormat="1" ht="59.25" hidden="1" customHeight="1" x14ac:dyDescent="0.3">
      <c r="A42" s="328"/>
      <c r="B42" s="293"/>
      <c r="C42" s="328"/>
      <c r="D42" s="334"/>
      <c r="E42" s="295"/>
      <c r="F42" s="335">
        <v>0</v>
      </c>
      <c r="G42" s="336">
        <v>0</v>
      </c>
      <c r="H42" s="336"/>
      <c r="I42" s="336">
        <v>0</v>
      </c>
      <c r="J42" s="337">
        <v>0</v>
      </c>
      <c r="K42" s="338">
        <v>0</v>
      </c>
      <c r="L42" s="338">
        <v>0</v>
      </c>
      <c r="M42" s="338">
        <v>0</v>
      </c>
      <c r="N42" s="338"/>
    </row>
    <row r="43" spans="1:14" s="279" customFormat="1" ht="59.25" hidden="1" customHeight="1" x14ac:dyDescent="0.3">
      <c r="A43" s="328"/>
      <c r="B43" s="293"/>
      <c r="C43" s="328"/>
      <c r="D43" s="339"/>
      <c r="E43" s="295"/>
      <c r="F43" s="315"/>
      <c r="G43" s="297"/>
      <c r="H43" s="298"/>
      <c r="I43" s="290">
        <v>0</v>
      </c>
      <c r="J43" s="283">
        <v>0</v>
      </c>
      <c r="K43" s="325"/>
      <c r="L43" s="325"/>
      <c r="M43" s="325"/>
      <c r="N43" s="325"/>
    </row>
    <row r="44" spans="1:14" s="279" customFormat="1" ht="59.25" hidden="1" customHeight="1" x14ac:dyDescent="0.3">
      <c r="A44" s="284"/>
      <c r="B44" s="284"/>
      <c r="C44" s="284"/>
      <c r="D44" s="285"/>
      <c r="E44" s="286"/>
      <c r="F44" s="311"/>
      <c r="G44" s="288"/>
      <c r="H44" s="289"/>
      <c r="I44" s="290">
        <v>0</v>
      </c>
      <c r="J44" s="326">
        <v>0</v>
      </c>
      <c r="K44" s="326"/>
      <c r="L44" s="326"/>
      <c r="M44" s="326"/>
      <c r="N44" s="326"/>
    </row>
    <row r="45" spans="1:14" s="279" customFormat="1" ht="59.25" hidden="1" customHeight="1" x14ac:dyDescent="0.3">
      <c r="A45" s="328"/>
      <c r="B45" s="293"/>
      <c r="C45" s="328"/>
      <c r="D45" s="340"/>
      <c r="E45" s="341"/>
      <c r="F45" s="342"/>
      <c r="G45" s="336"/>
      <c r="H45" s="343"/>
      <c r="I45" s="344"/>
      <c r="J45" s="325"/>
      <c r="K45" s="325"/>
      <c r="L45" s="325"/>
      <c r="M45" s="325"/>
      <c r="N45" s="325"/>
    </row>
    <row r="46" spans="1:14" s="279" customFormat="1" ht="59.25" hidden="1" customHeight="1" x14ac:dyDescent="0.3">
      <c r="A46" s="293"/>
      <c r="B46" s="293"/>
      <c r="C46" s="293"/>
      <c r="D46" s="294"/>
      <c r="E46" s="295"/>
      <c r="F46" s="315"/>
      <c r="G46" s="297"/>
      <c r="H46" s="298"/>
      <c r="I46" s="290"/>
      <c r="J46" s="326"/>
      <c r="K46" s="326"/>
      <c r="L46" s="326"/>
      <c r="M46" s="326"/>
      <c r="N46" s="326"/>
    </row>
    <row r="47" spans="1:14" ht="59.25" hidden="1" customHeight="1" x14ac:dyDescent="0.3">
      <c r="A47" s="284"/>
      <c r="B47" s="284"/>
      <c r="C47" s="284"/>
      <c r="D47" s="319"/>
      <c r="E47" s="345"/>
      <c r="F47" s="346">
        <v>0</v>
      </c>
      <c r="G47" s="322">
        <v>0</v>
      </c>
      <c r="H47" s="322"/>
      <c r="I47" s="322">
        <v>0</v>
      </c>
      <c r="J47" s="337">
        <v>0</v>
      </c>
      <c r="K47" s="337">
        <v>0</v>
      </c>
      <c r="L47" s="337"/>
      <c r="M47" s="337">
        <v>0</v>
      </c>
      <c r="N47" s="337"/>
    </row>
    <row r="48" spans="1:14" ht="59.25" hidden="1" customHeight="1" x14ac:dyDescent="0.3">
      <c r="A48" s="347"/>
      <c r="B48" s="348"/>
      <c r="C48" s="347"/>
      <c r="D48" s="339"/>
      <c r="E48" s="349"/>
      <c r="F48" s="350"/>
      <c r="G48" s="351"/>
      <c r="H48" s="352"/>
      <c r="I48" s="352"/>
      <c r="J48" s="283"/>
      <c r="K48" s="283"/>
      <c r="L48" s="327"/>
      <c r="M48" s="327"/>
      <c r="N48" s="327"/>
    </row>
    <row r="49" spans="1:14" ht="59.25" hidden="1" customHeight="1" x14ac:dyDescent="0.3">
      <c r="A49" s="353"/>
      <c r="B49" s="284"/>
      <c r="C49" s="353"/>
      <c r="D49" s="354"/>
      <c r="E49" s="355"/>
      <c r="F49" s="311"/>
      <c r="G49" s="288"/>
      <c r="H49" s="289"/>
      <c r="I49" s="290">
        <v>0</v>
      </c>
      <c r="J49" s="292">
        <v>0</v>
      </c>
      <c r="K49" s="292"/>
      <c r="L49" s="326"/>
      <c r="M49" s="326"/>
      <c r="N49" s="326"/>
    </row>
    <row r="50" spans="1:14" ht="59.25" hidden="1" customHeight="1" x14ac:dyDescent="0.3">
      <c r="A50" s="347"/>
      <c r="B50" s="348"/>
      <c r="C50" s="347"/>
      <c r="D50" s="339"/>
      <c r="E50" s="355"/>
      <c r="F50" s="311"/>
      <c r="G50" s="288"/>
      <c r="H50" s="289"/>
      <c r="I50" s="290">
        <v>0</v>
      </c>
      <c r="J50" s="292">
        <v>0</v>
      </c>
      <c r="K50" s="283"/>
      <c r="L50" s="327"/>
      <c r="M50" s="327"/>
      <c r="N50" s="327"/>
    </row>
    <row r="51" spans="1:14" ht="59.25" hidden="1" customHeight="1" x14ac:dyDescent="0.3">
      <c r="A51" s="347"/>
      <c r="B51" s="348"/>
      <c r="C51" s="347"/>
      <c r="D51" s="339"/>
      <c r="E51" s="349"/>
      <c r="F51" s="350"/>
      <c r="G51" s="351"/>
      <c r="H51" s="352"/>
      <c r="I51" s="290">
        <v>0</v>
      </c>
      <c r="J51" s="292">
        <v>0</v>
      </c>
      <c r="K51" s="283"/>
      <c r="L51" s="327"/>
      <c r="M51" s="327"/>
      <c r="N51" s="327"/>
    </row>
    <row r="52" spans="1:14" s="357" customFormat="1" ht="59.25" hidden="1" customHeight="1" x14ac:dyDescent="0.3">
      <c r="A52" s="284"/>
      <c r="B52" s="284"/>
      <c r="C52" s="284"/>
      <c r="D52" s="319"/>
      <c r="E52" s="286"/>
      <c r="F52" s="305"/>
      <c r="G52" s="288">
        <v>0</v>
      </c>
      <c r="H52" s="288"/>
      <c r="I52" s="288">
        <v>0</v>
      </c>
      <c r="J52" s="356">
        <v>0</v>
      </c>
      <c r="K52" s="292">
        <v>0</v>
      </c>
      <c r="L52" s="292"/>
      <c r="M52" s="292">
        <v>0</v>
      </c>
      <c r="N52" s="337"/>
    </row>
    <row r="53" spans="1:14" ht="59.25" hidden="1" customHeight="1" x14ac:dyDescent="0.3">
      <c r="A53" s="353"/>
      <c r="B53" s="284"/>
      <c r="C53" s="353"/>
      <c r="D53" s="354"/>
      <c r="E53" s="355"/>
      <c r="F53" s="311"/>
      <c r="G53" s="288"/>
      <c r="H53" s="289"/>
      <c r="I53" s="290"/>
      <c r="J53" s="292"/>
      <c r="K53" s="292"/>
      <c r="L53" s="326"/>
      <c r="M53" s="326"/>
      <c r="N53" s="326"/>
    </row>
    <row r="54" spans="1:14" ht="59.25" hidden="1" customHeight="1" x14ac:dyDescent="0.3">
      <c r="A54" s="353"/>
      <c r="B54" s="284"/>
      <c r="C54" s="353"/>
      <c r="D54" s="354"/>
      <c r="E54" s="355"/>
      <c r="F54" s="311"/>
      <c r="G54" s="288"/>
      <c r="H54" s="289"/>
      <c r="I54" s="290">
        <v>0</v>
      </c>
      <c r="J54" s="292">
        <v>0</v>
      </c>
      <c r="K54" s="292"/>
      <c r="L54" s="326"/>
      <c r="M54" s="326"/>
      <c r="N54" s="326"/>
    </row>
    <row r="55" spans="1:14" ht="59.25" hidden="1" customHeight="1" x14ac:dyDescent="0.3">
      <c r="A55" s="353"/>
      <c r="B55" s="284"/>
      <c r="C55" s="353"/>
      <c r="D55" s="354"/>
      <c r="E55" s="355"/>
      <c r="F55" s="311"/>
      <c r="G55" s="288"/>
      <c r="H55" s="289"/>
      <c r="I55" s="290">
        <v>0</v>
      </c>
      <c r="J55" s="292">
        <v>0</v>
      </c>
      <c r="K55" s="292"/>
      <c r="L55" s="326"/>
      <c r="M55" s="326"/>
      <c r="N55" s="326"/>
    </row>
    <row r="56" spans="1:14" ht="59.25" hidden="1" customHeight="1" x14ac:dyDescent="0.3">
      <c r="A56" s="353"/>
      <c r="B56" s="284"/>
      <c r="C56" s="353"/>
      <c r="D56" s="354"/>
      <c r="E56" s="355"/>
      <c r="F56" s="304"/>
      <c r="G56" s="288"/>
      <c r="H56" s="289"/>
      <c r="I56" s="290">
        <v>0</v>
      </c>
      <c r="J56" s="292">
        <v>0</v>
      </c>
      <c r="K56" s="292"/>
      <c r="L56" s="326"/>
      <c r="M56" s="326"/>
      <c r="N56" s="326"/>
    </row>
    <row r="57" spans="1:14" s="357" customFormat="1" ht="59.25" hidden="1" customHeight="1" x14ac:dyDescent="0.3">
      <c r="A57" s="284"/>
      <c r="B57" s="284"/>
      <c r="C57" s="284"/>
      <c r="D57" s="319"/>
      <c r="E57" s="286"/>
      <c r="F57" s="287">
        <v>0</v>
      </c>
      <c r="G57" s="288">
        <v>0</v>
      </c>
      <c r="H57" s="288"/>
      <c r="I57" s="288">
        <v>0</v>
      </c>
      <c r="J57" s="292">
        <v>0</v>
      </c>
      <c r="K57" s="292">
        <v>0</v>
      </c>
      <c r="L57" s="292">
        <v>0</v>
      </c>
      <c r="M57" s="292">
        <v>0</v>
      </c>
      <c r="N57" s="292"/>
    </row>
    <row r="58" spans="1:14" ht="59.25" hidden="1" customHeight="1" x14ac:dyDescent="0.3">
      <c r="A58" s="353"/>
      <c r="B58" s="284"/>
      <c r="C58" s="353"/>
      <c r="D58" s="354"/>
      <c r="E58" s="355"/>
      <c r="F58" s="304"/>
      <c r="G58" s="288"/>
      <c r="H58" s="289"/>
      <c r="I58" s="290"/>
      <c r="J58" s="292"/>
      <c r="K58" s="292"/>
      <c r="L58" s="326"/>
      <c r="M58" s="326"/>
      <c r="N58" s="326"/>
    </row>
    <row r="59" spans="1:14" ht="59.25" hidden="1" customHeight="1" x14ac:dyDescent="0.3">
      <c r="A59" s="353"/>
      <c r="B59" s="284"/>
      <c r="C59" s="353"/>
      <c r="D59" s="354"/>
      <c r="E59" s="355"/>
      <c r="F59" s="304"/>
      <c r="G59" s="288"/>
      <c r="H59" s="289"/>
      <c r="I59" s="290">
        <v>0</v>
      </c>
      <c r="J59" s="292">
        <v>0</v>
      </c>
      <c r="K59" s="292"/>
      <c r="L59" s="326"/>
      <c r="M59" s="326"/>
      <c r="N59" s="326"/>
    </row>
    <row r="60" spans="1:14" ht="59.25" hidden="1" customHeight="1" x14ac:dyDescent="0.3">
      <c r="A60" s="353"/>
      <c r="B60" s="284"/>
      <c r="C60" s="353"/>
      <c r="D60" s="354"/>
      <c r="E60" s="355"/>
      <c r="F60" s="304"/>
      <c r="G60" s="288"/>
      <c r="H60" s="289"/>
      <c r="I60" s="290"/>
      <c r="J60" s="292"/>
      <c r="K60" s="292"/>
      <c r="L60" s="326"/>
      <c r="M60" s="326"/>
      <c r="N60" s="326"/>
    </row>
    <row r="61" spans="1:14" ht="59.25" hidden="1" customHeight="1" x14ac:dyDescent="0.3">
      <c r="A61" s="353"/>
      <c r="B61" s="284"/>
      <c r="C61" s="353"/>
      <c r="D61" s="354"/>
      <c r="E61" s="355"/>
      <c r="F61" s="304"/>
      <c r="G61" s="288"/>
      <c r="H61" s="289"/>
      <c r="I61" s="290">
        <v>0</v>
      </c>
      <c r="J61" s="292">
        <v>0</v>
      </c>
      <c r="K61" s="292"/>
      <c r="L61" s="326"/>
      <c r="M61" s="326"/>
      <c r="N61" s="326"/>
    </row>
    <row r="62" spans="1:14" s="357" customFormat="1" ht="59.25" hidden="1" customHeight="1" x14ac:dyDescent="0.3">
      <c r="A62" s="284"/>
      <c r="B62" s="284"/>
      <c r="C62" s="284"/>
      <c r="D62" s="319"/>
      <c r="E62" s="286"/>
      <c r="F62" s="305"/>
      <c r="G62" s="288">
        <v>0</v>
      </c>
      <c r="H62" s="288"/>
      <c r="I62" s="288">
        <v>0</v>
      </c>
      <c r="J62" s="291">
        <v>0</v>
      </c>
      <c r="K62" s="292">
        <v>0</v>
      </c>
      <c r="L62" s="292">
        <v>0</v>
      </c>
      <c r="M62" s="292">
        <v>0</v>
      </c>
      <c r="N62" s="292"/>
    </row>
    <row r="63" spans="1:14" ht="59.25" hidden="1" customHeight="1" x14ac:dyDescent="0.3">
      <c r="A63" s="353"/>
      <c r="B63" s="284"/>
      <c r="C63" s="353"/>
      <c r="D63" s="354"/>
      <c r="E63" s="355"/>
      <c r="F63" s="304"/>
      <c r="G63" s="288"/>
      <c r="H63" s="289"/>
      <c r="I63" s="290"/>
      <c r="J63" s="291"/>
      <c r="K63" s="292"/>
      <c r="L63" s="326"/>
      <c r="M63" s="326"/>
      <c r="N63" s="326"/>
    </row>
    <row r="64" spans="1:14" ht="59.25" hidden="1" customHeight="1" x14ac:dyDescent="0.3">
      <c r="A64" s="353"/>
      <c r="B64" s="284"/>
      <c r="C64" s="353"/>
      <c r="D64" s="354"/>
      <c r="E64" s="355"/>
      <c r="F64" s="311"/>
      <c r="G64" s="288"/>
      <c r="H64" s="289"/>
      <c r="I64" s="290">
        <v>0</v>
      </c>
      <c r="J64" s="291">
        <v>0</v>
      </c>
      <c r="K64" s="292"/>
      <c r="L64" s="326"/>
      <c r="M64" s="326"/>
      <c r="N64" s="326"/>
    </row>
    <row r="65" spans="1:14" ht="59.25" hidden="1" customHeight="1" x14ac:dyDescent="0.3">
      <c r="A65" s="353"/>
      <c r="B65" s="284"/>
      <c r="C65" s="353"/>
      <c r="D65" s="354"/>
      <c r="E65" s="355"/>
      <c r="F65" s="311"/>
      <c r="G65" s="288"/>
      <c r="H65" s="289"/>
      <c r="I65" s="290">
        <v>0</v>
      </c>
      <c r="J65" s="292">
        <v>0</v>
      </c>
      <c r="K65" s="292"/>
      <c r="L65" s="326"/>
      <c r="M65" s="326"/>
      <c r="N65" s="326"/>
    </row>
    <row r="66" spans="1:14" ht="59.25" hidden="1" customHeight="1" x14ac:dyDescent="0.3">
      <c r="A66" s="353"/>
      <c r="B66" s="284"/>
      <c r="C66" s="353"/>
      <c r="D66" s="354"/>
      <c r="E66" s="355"/>
      <c r="F66" s="311"/>
      <c r="G66" s="288"/>
      <c r="H66" s="289"/>
      <c r="I66" s="290">
        <v>0</v>
      </c>
      <c r="J66" s="292">
        <v>0</v>
      </c>
      <c r="K66" s="292"/>
      <c r="L66" s="326">
        <v>0</v>
      </c>
      <c r="M66" s="326"/>
      <c r="N66" s="326"/>
    </row>
    <row r="67" spans="1:14" ht="59.25" hidden="1" customHeight="1" x14ac:dyDescent="0.3">
      <c r="A67" s="353"/>
      <c r="B67" s="284"/>
      <c r="C67" s="353"/>
      <c r="D67" s="354"/>
      <c r="E67" s="355"/>
      <c r="F67" s="311"/>
      <c r="G67" s="288"/>
      <c r="H67" s="289"/>
      <c r="I67" s="290">
        <v>0</v>
      </c>
      <c r="J67" s="292">
        <v>0</v>
      </c>
      <c r="K67" s="292"/>
      <c r="L67" s="326"/>
      <c r="M67" s="326"/>
      <c r="N67" s="326"/>
    </row>
    <row r="68" spans="1:14" ht="59.25" hidden="1" customHeight="1" x14ac:dyDescent="0.3">
      <c r="A68" s="353"/>
      <c r="B68" s="284"/>
      <c r="C68" s="353"/>
      <c r="D68" s="354"/>
      <c r="E68" s="355"/>
      <c r="F68" s="311"/>
      <c r="G68" s="288"/>
      <c r="H68" s="289"/>
      <c r="I68" s="290">
        <v>0</v>
      </c>
      <c r="J68" s="292">
        <v>0</v>
      </c>
      <c r="K68" s="292"/>
      <c r="L68" s="326"/>
      <c r="M68" s="326"/>
      <c r="N68" s="326"/>
    </row>
    <row r="69" spans="1:14" ht="59.25" hidden="1" customHeight="1" x14ac:dyDescent="0.3">
      <c r="A69" s="353"/>
      <c r="B69" s="284"/>
      <c r="C69" s="353"/>
      <c r="D69" s="354"/>
      <c r="E69" s="355"/>
      <c r="F69" s="311"/>
      <c r="G69" s="288"/>
      <c r="H69" s="289"/>
      <c r="I69" s="290">
        <v>0</v>
      </c>
      <c r="J69" s="292">
        <v>0</v>
      </c>
      <c r="K69" s="292"/>
      <c r="L69" s="326"/>
      <c r="M69" s="326"/>
      <c r="N69" s="326"/>
    </row>
    <row r="70" spans="1:14" ht="59.25" hidden="1" customHeight="1" x14ac:dyDescent="0.3">
      <c r="A70" s="353"/>
      <c r="B70" s="284"/>
      <c r="C70" s="353"/>
      <c r="D70" s="354"/>
      <c r="E70" s="355"/>
      <c r="F70" s="311"/>
      <c r="G70" s="288"/>
      <c r="H70" s="289"/>
      <c r="I70" s="290">
        <v>0</v>
      </c>
      <c r="J70" s="292">
        <v>0</v>
      </c>
      <c r="K70" s="292"/>
      <c r="L70" s="326"/>
      <c r="M70" s="326"/>
      <c r="N70" s="326"/>
    </row>
    <row r="71" spans="1:14" s="357" customFormat="1" ht="59.25" hidden="1" customHeight="1" x14ac:dyDescent="0.3">
      <c r="A71" s="358"/>
      <c r="B71" s="284"/>
      <c r="C71" s="358"/>
      <c r="D71" s="359"/>
      <c r="E71" s="360"/>
      <c r="F71" s="346">
        <v>0</v>
      </c>
      <c r="G71" s="322">
        <v>0</v>
      </c>
      <c r="H71" s="322"/>
      <c r="I71" s="322">
        <v>0</v>
      </c>
      <c r="J71" s="337">
        <v>0</v>
      </c>
      <c r="K71" s="337">
        <v>0</v>
      </c>
      <c r="L71" s="337">
        <v>0</v>
      </c>
      <c r="M71" s="337">
        <v>0</v>
      </c>
      <c r="N71" s="337"/>
    </row>
    <row r="72" spans="1:14" ht="59.25" hidden="1" customHeight="1" x14ac:dyDescent="0.3">
      <c r="A72" s="353"/>
      <c r="B72" s="284"/>
      <c r="C72" s="353"/>
      <c r="D72" s="354"/>
      <c r="E72" s="355"/>
      <c r="F72" s="311"/>
      <c r="G72" s="288"/>
      <c r="H72" s="289"/>
      <c r="I72" s="290"/>
      <c r="J72" s="292"/>
      <c r="K72" s="292"/>
      <c r="L72" s="326"/>
      <c r="M72" s="326"/>
      <c r="N72" s="326"/>
    </row>
    <row r="73" spans="1:14" ht="59.25" hidden="1" customHeight="1" x14ac:dyDescent="0.3">
      <c r="A73" s="353"/>
      <c r="B73" s="284"/>
      <c r="C73" s="353"/>
      <c r="D73" s="354"/>
      <c r="E73" s="355"/>
      <c r="F73" s="311"/>
      <c r="G73" s="288"/>
      <c r="H73" s="289"/>
      <c r="I73" s="290">
        <v>0</v>
      </c>
      <c r="J73" s="292">
        <v>0</v>
      </c>
      <c r="K73" s="292"/>
      <c r="L73" s="326"/>
      <c r="M73" s="326"/>
      <c r="N73" s="326"/>
    </row>
    <row r="74" spans="1:14" ht="59.25" hidden="1" customHeight="1" x14ac:dyDescent="0.3">
      <c r="A74" s="353"/>
      <c r="B74" s="284"/>
      <c r="C74" s="353"/>
      <c r="D74" s="354"/>
      <c r="E74" s="355"/>
      <c r="F74" s="311"/>
      <c r="G74" s="288"/>
      <c r="H74" s="289"/>
      <c r="I74" s="290">
        <v>0</v>
      </c>
      <c r="J74" s="292">
        <v>0</v>
      </c>
      <c r="K74" s="292"/>
      <c r="L74" s="326"/>
      <c r="M74" s="326"/>
      <c r="N74" s="326"/>
    </row>
    <row r="75" spans="1:14" ht="59.25" hidden="1" customHeight="1" x14ac:dyDescent="0.3">
      <c r="A75" s="353"/>
      <c r="B75" s="284"/>
      <c r="C75" s="353"/>
      <c r="D75" s="354"/>
      <c r="E75" s="355"/>
      <c r="F75" s="304"/>
      <c r="G75" s="288"/>
      <c r="H75" s="289"/>
      <c r="I75" s="290">
        <v>0</v>
      </c>
      <c r="J75" s="292">
        <v>0</v>
      </c>
      <c r="K75" s="292"/>
      <c r="L75" s="326"/>
      <c r="M75" s="326"/>
      <c r="N75" s="326"/>
    </row>
    <row r="76" spans="1:14" ht="59.25" hidden="1" customHeight="1" x14ac:dyDescent="0.3">
      <c r="A76" s="353"/>
      <c r="B76" s="284"/>
      <c r="C76" s="353"/>
      <c r="D76" s="354"/>
      <c r="E76" s="355"/>
      <c r="F76" s="304"/>
      <c r="G76" s="288"/>
      <c r="H76" s="289"/>
      <c r="I76" s="290">
        <v>0</v>
      </c>
      <c r="J76" s="292">
        <v>0</v>
      </c>
      <c r="K76" s="292"/>
      <c r="L76" s="326"/>
      <c r="M76" s="326"/>
      <c r="N76" s="326"/>
    </row>
    <row r="77" spans="1:14" ht="59.25" hidden="1" customHeight="1" x14ac:dyDescent="0.3">
      <c r="A77" s="353"/>
      <c r="B77" s="284"/>
      <c r="C77" s="353"/>
      <c r="D77" s="354"/>
      <c r="E77" s="355"/>
      <c r="F77" s="304"/>
      <c r="G77" s="288"/>
      <c r="H77" s="289"/>
      <c r="I77" s="290">
        <v>0</v>
      </c>
      <c r="J77" s="292">
        <v>0</v>
      </c>
      <c r="K77" s="292"/>
      <c r="L77" s="326"/>
      <c r="M77" s="326"/>
      <c r="N77" s="326"/>
    </row>
    <row r="78" spans="1:14" ht="59.25" hidden="1" customHeight="1" x14ac:dyDescent="0.3">
      <c r="A78" s="353"/>
      <c r="B78" s="284"/>
      <c r="C78" s="353"/>
      <c r="D78" s="354"/>
      <c r="E78" s="355"/>
      <c r="F78" s="304"/>
      <c r="G78" s="288"/>
      <c r="H78" s="289"/>
      <c r="I78" s="290">
        <v>0</v>
      </c>
      <c r="J78" s="292">
        <v>0</v>
      </c>
      <c r="K78" s="292">
        <v>0</v>
      </c>
      <c r="L78" s="326"/>
      <c r="M78" s="326"/>
      <c r="N78" s="326"/>
    </row>
    <row r="79" spans="1:14" ht="59.25" hidden="1" customHeight="1" x14ac:dyDescent="0.3">
      <c r="A79" s="353"/>
      <c r="B79" s="284"/>
      <c r="C79" s="353"/>
      <c r="D79" s="354"/>
      <c r="E79" s="355"/>
      <c r="F79" s="287">
        <v>0</v>
      </c>
      <c r="G79" s="288">
        <v>0</v>
      </c>
      <c r="H79" s="288"/>
      <c r="I79" s="288">
        <v>0</v>
      </c>
      <c r="J79" s="292">
        <v>0</v>
      </c>
      <c r="K79" s="292">
        <v>0</v>
      </c>
      <c r="L79" s="292">
        <v>0</v>
      </c>
      <c r="M79" s="292">
        <v>0</v>
      </c>
      <c r="N79" s="292"/>
    </row>
    <row r="80" spans="1:14" ht="59.25" hidden="1" customHeight="1" x14ac:dyDescent="0.3">
      <c r="A80" s="353"/>
      <c r="B80" s="284"/>
      <c r="C80" s="353"/>
      <c r="D80" s="354"/>
      <c r="E80" s="355"/>
      <c r="F80" s="304"/>
      <c r="G80" s="288"/>
      <c r="H80" s="289"/>
      <c r="I80" s="290"/>
      <c r="J80" s="292"/>
      <c r="K80" s="292"/>
      <c r="L80" s="326"/>
      <c r="M80" s="326"/>
      <c r="N80" s="326"/>
    </row>
    <row r="81" spans="1:15" ht="59.25" hidden="1" customHeight="1" x14ac:dyDescent="0.3">
      <c r="A81" s="353"/>
      <c r="B81" s="284"/>
      <c r="C81" s="353"/>
      <c r="D81" s="354"/>
      <c r="E81" s="286"/>
      <c r="F81" s="304"/>
      <c r="G81" s="288"/>
      <c r="H81" s="289"/>
      <c r="I81" s="290">
        <v>0</v>
      </c>
      <c r="J81" s="292">
        <v>0</v>
      </c>
      <c r="K81" s="292"/>
      <c r="L81" s="326"/>
      <c r="M81" s="326"/>
      <c r="N81" s="326"/>
    </row>
    <row r="82" spans="1:15" ht="61.5" hidden="1" customHeight="1" x14ac:dyDescent="0.3">
      <c r="A82" s="284" t="s">
        <v>540</v>
      </c>
      <c r="B82" s="284" t="s">
        <v>541</v>
      </c>
      <c r="C82" s="284" t="s">
        <v>116</v>
      </c>
      <c r="D82" s="319" t="s">
        <v>542</v>
      </c>
      <c r="E82" s="286"/>
      <c r="F82" s="305"/>
      <c r="G82" s="288"/>
      <c r="H82" s="288"/>
      <c r="I82" s="288">
        <f>I85+I87+I89+I91+I93+I95</f>
        <v>0</v>
      </c>
      <c r="J82" s="303">
        <v>9000000</v>
      </c>
      <c r="K82" s="292">
        <v>0</v>
      </c>
      <c r="L82" s="292">
        <v>0</v>
      </c>
      <c r="M82" s="292">
        <v>0</v>
      </c>
      <c r="N82" s="361"/>
    </row>
    <row r="83" spans="1:15" ht="61.5" hidden="1" customHeight="1" x14ac:dyDescent="0.3">
      <c r="A83" s="284"/>
      <c r="B83" s="284"/>
      <c r="C83" s="284"/>
      <c r="D83" s="354" t="s">
        <v>543</v>
      </c>
      <c r="E83" s="286"/>
      <c r="F83" s="305"/>
      <c r="G83" s="288"/>
      <c r="H83" s="288"/>
      <c r="I83" s="288">
        <f>I86+I88+I90+I92+I94+I96</f>
        <v>0</v>
      </c>
      <c r="J83" s="303"/>
      <c r="K83" s="292"/>
      <c r="L83" s="292"/>
      <c r="M83" s="292"/>
      <c r="N83" s="361">
        <f>I82-I83</f>
        <v>0</v>
      </c>
      <c r="O83" s="362">
        <f>682500-N83</f>
        <v>682500</v>
      </c>
    </row>
    <row r="84" spans="1:15" ht="23.25" hidden="1" customHeight="1" x14ac:dyDescent="0.3">
      <c r="A84" s="353"/>
      <c r="B84" s="284"/>
      <c r="C84" s="353"/>
      <c r="D84" s="319" t="s">
        <v>539</v>
      </c>
      <c r="E84" s="355"/>
      <c r="F84" s="287"/>
      <c r="G84" s="288"/>
      <c r="H84" s="288"/>
      <c r="I84" s="288"/>
      <c r="J84" s="303"/>
      <c r="K84" s="292"/>
      <c r="L84" s="292"/>
      <c r="M84" s="292"/>
      <c r="N84" s="361"/>
    </row>
    <row r="85" spans="1:15" ht="89.25" hidden="1" customHeight="1" x14ac:dyDescent="0.3">
      <c r="A85" s="353"/>
      <c r="B85" s="284"/>
      <c r="C85" s="353"/>
      <c r="D85" s="354"/>
      <c r="E85" s="363" t="s">
        <v>544</v>
      </c>
      <c r="F85" s="306">
        <v>2019</v>
      </c>
      <c r="G85" s="288"/>
      <c r="H85" s="288"/>
      <c r="I85" s="288"/>
      <c r="J85" s="303"/>
      <c r="K85" s="292"/>
      <c r="L85" s="292"/>
      <c r="M85" s="292"/>
      <c r="N85" s="361"/>
    </row>
    <row r="86" spans="1:15" ht="59.25" hidden="1" customHeight="1" x14ac:dyDescent="0.3">
      <c r="A86" s="353"/>
      <c r="B86" s="284"/>
      <c r="C86" s="353"/>
      <c r="D86" s="354" t="s">
        <v>543</v>
      </c>
      <c r="E86" s="355"/>
      <c r="F86" s="311"/>
      <c r="G86" s="288"/>
      <c r="H86" s="289"/>
      <c r="I86" s="290"/>
      <c r="J86" s="292"/>
      <c r="K86" s="292"/>
      <c r="L86" s="292"/>
      <c r="M86" s="292"/>
      <c r="N86" s="361"/>
    </row>
    <row r="87" spans="1:15" ht="87.75" hidden="1" customHeight="1" x14ac:dyDescent="0.3">
      <c r="A87" s="353"/>
      <c r="B87" s="284"/>
      <c r="C87" s="353"/>
      <c r="D87" s="354"/>
      <c r="E87" s="355" t="s">
        <v>545</v>
      </c>
      <c r="F87" s="306">
        <v>2019</v>
      </c>
      <c r="G87" s="288"/>
      <c r="H87" s="288"/>
      <c r="I87" s="288"/>
      <c r="J87" s="292"/>
      <c r="K87" s="292"/>
      <c r="L87" s="292"/>
      <c r="M87" s="292"/>
      <c r="N87" s="361"/>
    </row>
    <row r="88" spans="1:15" ht="59.25" hidden="1" customHeight="1" x14ac:dyDescent="0.3">
      <c r="A88" s="353"/>
      <c r="B88" s="284"/>
      <c r="C88" s="353"/>
      <c r="D88" s="354" t="s">
        <v>543</v>
      </c>
      <c r="E88" s="355"/>
      <c r="F88" s="311"/>
      <c r="G88" s="288"/>
      <c r="H88" s="289"/>
      <c r="I88" s="290"/>
      <c r="J88" s="292"/>
      <c r="K88" s="292"/>
      <c r="L88" s="292"/>
      <c r="M88" s="292"/>
      <c r="N88" s="361"/>
    </row>
    <row r="89" spans="1:15" ht="59.25" hidden="1" customHeight="1" x14ac:dyDescent="0.3">
      <c r="A89" s="353"/>
      <c r="B89" s="284"/>
      <c r="C89" s="353"/>
      <c r="D89" s="354"/>
      <c r="E89" s="355" t="s">
        <v>546</v>
      </c>
      <c r="F89" s="306">
        <v>2019</v>
      </c>
      <c r="G89" s="288"/>
      <c r="H89" s="288"/>
      <c r="I89" s="288"/>
      <c r="J89" s="292"/>
      <c r="K89" s="292"/>
      <c r="L89" s="292"/>
      <c r="M89" s="292"/>
      <c r="N89" s="361"/>
    </row>
    <row r="90" spans="1:15" ht="59.25" hidden="1" customHeight="1" x14ac:dyDescent="0.3">
      <c r="A90" s="353"/>
      <c r="B90" s="284"/>
      <c r="C90" s="353"/>
      <c r="D90" s="354" t="s">
        <v>543</v>
      </c>
      <c r="E90" s="355"/>
      <c r="F90" s="311"/>
      <c r="G90" s="288"/>
      <c r="H90" s="289"/>
      <c r="I90" s="290"/>
      <c r="J90" s="292"/>
      <c r="K90" s="292"/>
      <c r="L90" s="292"/>
      <c r="M90" s="292"/>
      <c r="N90" s="361"/>
    </row>
    <row r="91" spans="1:15" ht="84" hidden="1" x14ac:dyDescent="0.3">
      <c r="A91" s="353"/>
      <c r="B91" s="284"/>
      <c r="C91" s="353"/>
      <c r="D91" s="354"/>
      <c r="E91" s="355" t="s">
        <v>547</v>
      </c>
      <c r="F91" s="306">
        <v>2019</v>
      </c>
      <c r="G91" s="288"/>
      <c r="H91" s="288"/>
      <c r="I91" s="288"/>
      <c r="J91" s="292"/>
      <c r="K91" s="292"/>
      <c r="L91" s="292"/>
      <c r="M91" s="292"/>
      <c r="N91" s="361"/>
    </row>
    <row r="92" spans="1:15" ht="63" hidden="1" x14ac:dyDescent="0.3">
      <c r="A92" s="353"/>
      <c r="B92" s="284"/>
      <c r="C92" s="353"/>
      <c r="D92" s="354" t="s">
        <v>543</v>
      </c>
      <c r="E92" s="355"/>
      <c r="F92" s="302"/>
      <c r="G92" s="288"/>
      <c r="H92" s="289"/>
      <c r="I92" s="290"/>
      <c r="J92" s="292"/>
      <c r="K92" s="292"/>
      <c r="L92" s="292"/>
      <c r="M92" s="292"/>
      <c r="N92" s="361"/>
    </row>
    <row r="93" spans="1:15" ht="84" hidden="1" x14ac:dyDescent="0.3">
      <c r="A93" s="353"/>
      <c r="B93" s="284"/>
      <c r="C93" s="353"/>
      <c r="D93" s="354"/>
      <c r="E93" s="355" t="s">
        <v>548</v>
      </c>
      <c r="F93" s="306">
        <v>2019</v>
      </c>
      <c r="G93" s="288"/>
      <c r="H93" s="288"/>
      <c r="I93" s="288"/>
      <c r="J93" s="292"/>
      <c r="K93" s="292"/>
      <c r="L93" s="292"/>
      <c r="M93" s="292"/>
      <c r="N93" s="361"/>
    </row>
    <row r="94" spans="1:15" ht="63" hidden="1" x14ac:dyDescent="0.3">
      <c r="A94" s="353"/>
      <c r="B94" s="284"/>
      <c r="C94" s="353"/>
      <c r="D94" s="354" t="s">
        <v>543</v>
      </c>
      <c r="E94" s="355"/>
      <c r="F94" s="305"/>
      <c r="G94" s="288"/>
      <c r="H94" s="289"/>
      <c r="I94" s="290"/>
      <c r="J94" s="292"/>
      <c r="K94" s="292"/>
      <c r="L94" s="292"/>
      <c r="M94" s="292"/>
      <c r="N94" s="361"/>
    </row>
    <row r="95" spans="1:15" ht="132" hidden="1" customHeight="1" x14ac:dyDescent="0.3">
      <c r="A95" s="353"/>
      <c r="B95" s="284"/>
      <c r="C95" s="353"/>
      <c r="D95" s="354"/>
      <c r="E95" s="355" t="s">
        <v>549</v>
      </c>
      <c r="F95" s="306">
        <v>2019</v>
      </c>
      <c r="G95" s="288"/>
      <c r="H95" s="288"/>
      <c r="I95" s="288"/>
      <c r="J95" s="292"/>
      <c r="K95" s="292"/>
      <c r="L95" s="292"/>
      <c r="M95" s="292"/>
      <c r="N95" s="361"/>
    </row>
    <row r="96" spans="1:15" ht="59.25" hidden="1" customHeight="1" x14ac:dyDescent="0.3">
      <c r="A96" s="353"/>
      <c r="B96" s="284"/>
      <c r="C96" s="353"/>
      <c r="D96" s="354" t="s">
        <v>543</v>
      </c>
      <c r="E96" s="355"/>
      <c r="F96" s="287"/>
      <c r="G96" s="288"/>
      <c r="H96" s="288"/>
      <c r="I96" s="288"/>
      <c r="J96" s="292"/>
      <c r="K96" s="292"/>
      <c r="L96" s="292"/>
      <c r="M96" s="292"/>
      <c r="N96" s="361"/>
    </row>
    <row r="97" spans="1:14" ht="67.2" customHeight="1" x14ac:dyDescent="0.3">
      <c r="A97" s="284" t="s">
        <v>550</v>
      </c>
      <c r="B97" s="284" t="s">
        <v>551</v>
      </c>
      <c r="C97" s="284" t="s">
        <v>116</v>
      </c>
      <c r="D97" s="319" t="s">
        <v>552</v>
      </c>
      <c r="E97" s="286"/>
      <c r="F97" s="287"/>
      <c r="G97" s="288">
        <f>G99</f>
        <v>0</v>
      </c>
      <c r="H97" s="288"/>
      <c r="I97" s="288">
        <f>I99+I100</f>
        <v>1048631</v>
      </c>
      <c r="J97" s="303">
        <v>1000000</v>
      </c>
      <c r="K97" s="292">
        <v>0</v>
      </c>
      <c r="L97" s="292">
        <v>0</v>
      </c>
      <c r="M97" s="356">
        <v>0</v>
      </c>
      <c r="N97" s="361"/>
    </row>
    <row r="98" spans="1:14" ht="21" x14ac:dyDescent="0.3">
      <c r="A98" s="353"/>
      <c r="B98" s="284"/>
      <c r="C98" s="353"/>
      <c r="D98" s="319" t="s">
        <v>539</v>
      </c>
      <c r="E98" s="355"/>
      <c r="F98" s="287"/>
      <c r="G98" s="288"/>
      <c r="H98" s="289"/>
      <c r="I98" s="290"/>
      <c r="J98" s="303"/>
      <c r="K98" s="292"/>
      <c r="L98" s="292"/>
      <c r="M98" s="292"/>
      <c r="N98" s="361"/>
    </row>
    <row r="99" spans="1:14" ht="87.9" customHeight="1" thickBot="1" x14ac:dyDescent="0.35">
      <c r="A99" s="353"/>
      <c r="B99" s="284"/>
      <c r="C99" s="353"/>
      <c r="D99" s="354"/>
      <c r="E99" s="364" t="s">
        <v>716</v>
      </c>
      <c r="F99" s="305"/>
      <c r="G99" s="288"/>
      <c r="H99" s="289"/>
      <c r="I99" s="290">
        <f>2000000-539696-236673-175000</f>
        <v>1048631</v>
      </c>
      <c r="J99" s="303">
        <v>1000000</v>
      </c>
      <c r="K99" s="292"/>
      <c r="L99" s="292">
        <v>0</v>
      </c>
      <c r="M99" s="292"/>
      <c r="N99" s="361"/>
    </row>
    <row r="100" spans="1:14" ht="66.75" hidden="1" customHeight="1" x14ac:dyDescent="0.3">
      <c r="A100" s="353"/>
      <c r="B100" s="284"/>
      <c r="C100" s="353"/>
      <c r="D100" s="354"/>
      <c r="E100" s="295"/>
      <c r="F100" s="302"/>
      <c r="G100" s="297"/>
      <c r="H100" s="298"/>
      <c r="I100" s="290"/>
      <c r="J100" s="291"/>
      <c r="K100" s="292"/>
      <c r="L100" s="292"/>
      <c r="M100" s="292"/>
      <c r="N100" s="361"/>
    </row>
    <row r="101" spans="1:14" ht="93" hidden="1" customHeight="1" x14ac:dyDescent="0.3">
      <c r="A101" s="365"/>
      <c r="B101" s="366"/>
      <c r="C101" s="366"/>
      <c r="D101" s="355" t="s">
        <v>554</v>
      </c>
      <c r="E101" s="202"/>
      <c r="F101" s="305"/>
      <c r="G101" s="288"/>
      <c r="H101" s="289"/>
      <c r="I101" s="290"/>
      <c r="J101" s="292"/>
      <c r="K101" s="292"/>
      <c r="L101" s="292"/>
      <c r="M101" s="292"/>
      <c r="N101" s="361"/>
    </row>
    <row r="102" spans="1:14" ht="21" hidden="1" customHeight="1" x14ac:dyDescent="0.3">
      <c r="A102" s="353"/>
      <c r="B102" s="284"/>
      <c r="C102" s="353"/>
      <c r="D102" s="319"/>
      <c r="E102" s="355"/>
      <c r="F102" s="367"/>
      <c r="G102" s="288"/>
      <c r="H102" s="289"/>
      <c r="I102" s="290"/>
      <c r="J102" s="292"/>
      <c r="K102" s="292"/>
      <c r="L102" s="292"/>
      <c r="M102" s="292"/>
      <c r="N102" s="361"/>
    </row>
    <row r="103" spans="1:14" ht="150.75" hidden="1" customHeight="1" x14ac:dyDescent="0.3">
      <c r="A103" s="353"/>
      <c r="B103" s="284"/>
      <c r="C103" s="353"/>
      <c r="D103" s="355"/>
      <c r="E103" s="355"/>
      <c r="F103" s="367"/>
      <c r="G103" s="288"/>
      <c r="H103" s="289"/>
      <c r="I103" s="290"/>
      <c r="J103" s="292"/>
      <c r="K103" s="292"/>
      <c r="L103" s="292"/>
      <c r="M103" s="292"/>
      <c r="N103" s="361"/>
    </row>
    <row r="104" spans="1:14" ht="21.6" thickBot="1" x14ac:dyDescent="0.35">
      <c r="A104" s="368"/>
      <c r="B104" s="368"/>
      <c r="C104" s="368"/>
      <c r="D104" s="369"/>
      <c r="E104" s="369"/>
      <c r="F104" s="333"/>
      <c r="G104" s="297"/>
      <c r="H104" s="298"/>
      <c r="I104" s="370"/>
      <c r="J104" s="301"/>
      <c r="K104" s="301"/>
      <c r="L104" s="301"/>
      <c r="M104" s="301"/>
      <c r="N104" s="371"/>
    </row>
    <row r="105" spans="1:14" ht="21" x14ac:dyDescent="0.3">
      <c r="A105" s="372" t="s">
        <v>141</v>
      </c>
      <c r="B105" s="373"/>
      <c r="C105" s="373"/>
      <c r="D105" s="374" t="s">
        <v>555</v>
      </c>
      <c r="E105" s="375"/>
      <c r="F105" s="376"/>
      <c r="G105" s="377"/>
      <c r="H105" s="378"/>
      <c r="I105" s="379">
        <f>I106</f>
        <v>683081</v>
      </c>
      <c r="J105" s="380"/>
      <c r="K105" s="380"/>
      <c r="L105" s="380"/>
      <c r="M105" s="380"/>
      <c r="N105" s="381"/>
    </row>
    <row r="106" spans="1:14" ht="21.6" thickBot="1" x14ac:dyDescent="0.35">
      <c r="A106" s="382" t="s">
        <v>436</v>
      </c>
      <c r="B106" s="383"/>
      <c r="C106" s="383"/>
      <c r="D106" s="384" t="s">
        <v>555</v>
      </c>
      <c r="E106" s="385"/>
      <c r="F106" s="386"/>
      <c r="G106" s="387"/>
      <c r="H106" s="388"/>
      <c r="I106" s="389">
        <f>I108+I112</f>
        <v>683081</v>
      </c>
      <c r="J106" s="390"/>
      <c r="K106" s="390"/>
      <c r="L106" s="390"/>
      <c r="M106" s="390"/>
      <c r="N106" s="391"/>
    </row>
    <row r="107" spans="1:14" ht="21" x14ac:dyDescent="0.3">
      <c r="A107" s="347"/>
      <c r="B107" s="348"/>
      <c r="C107" s="347"/>
      <c r="D107" s="349"/>
      <c r="E107" s="349"/>
      <c r="F107" s="392"/>
      <c r="G107" s="351"/>
      <c r="H107" s="352"/>
      <c r="I107" s="281"/>
      <c r="J107" s="283"/>
      <c r="K107" s="283"/>
      <c r="L107" s="283"/>
      <c r="M107" s="283"/>
      <c r="N107" s="393"/>
    </row>
    <row r="108" spans="1:14" ht="41.25" customHeight="1" x14ac:dyDescent="0.3">
      <c r="A108" s="365" t="s">
        <v>556</v>
      </c>
      <c r="B108" s="366" t="s">
        <v>557</v>
      </c>
      <c r="C108" s="366" t="s">
        <v>172</v>
      </c>
      <c r="D108" s="394" t="s">
        <v>558</v>
      </c>
      <c r="E108" s="202"/>
      <c r="F108" s="305"/>
      <c r="G108" s="288"/>
      <c r="H108" s="289"/>
      <c r="I108" s="290">
        <f>I110+I111</f>
        <v>683081</v>
      </c>
      <c r="J108" s="292">
        <v>0</v>
      </c>
      <c r="K108" s="292"/>
      <c r="L108" s="292">
        <v>0</v>
      </c>
      <c r="M108" s="292">
        <v>0</v>
      </c>
      <c r="N108" s="361"/>
    </row>
    <row r="109" spans="1:14" ht="30.75" customHeight="1" x14ac:dyDescent="0.3">
      <c r="A109" s="353"/>
      <c r="B109" s="284"/>
      <c r="C109" s="353"/>
      <c r="D109" s="319" t="s">
        <v>539</v>
      </c>
      <c r="E109" s="355"/>
      <c r="F109" s="367"/>
      <c r="G109" s="288"/>
      <c r="H109" s="289"/>
      <c r="I109" s="290"/>
      <c r="J109" s="292"/>
      <c r="K109" s="292"/>
      <c r="L109" s="292"/>
      <c r="M109" s="292"/>
      <c r="N109" s="361"/>
    </row>
    <row r="110" spans="1:14" ht="156.75" customHeight="1" x14ac:dyDescent="0.3">
      <c r="A110" s="353"/>
      <c r="B110" s="284"/>
      <c r="C110" s="353"/>
      <c r="D110" s="355"/>
      <c r="E110" s="355" t="s">
        <v>1053</v>
      </c>
      <c r="F110" s="302" t="s">
        <v>1054</v>
      </c>
      <c r="G110" s="290">
        <f>98420+250000+137580</f>
        <v>486000</v>
      </c>
      <c r="H110" s="289">
        <v>0</v>
      </c>
      <c r="I110" s="290">
        <f>98420+250000+137580</f>
        <v>486000</v>
      </c>
      <c r="J110" s="292"/>
      <c r="K110" s="292"/>
      <c r="L110" s="292"/>
      <c r="M110" s="292"/>
      <c r="N110" s="361"/>
    </row>
    <row r="111" spans="1:14" ht="84.6" thickBot="1" x14ac:dyDescent="0.35">
      <c r="A111" s="353"/>
      <c r="B111" s="284"/>
      <c r="C111" s="353"/>
      <c r="D111" s="355"/>
      <c r="E111" s="355" t="s">
        <v>1055</v>
      </c>
      <c r="F111" s="302" t="s">
        <v>1054</v>
      </c>
      <c r="G111" s="290">
        <v>197081</v>
      </c>
      <c r="H111" s="289"/>
      <c r="I111" s="290">
        <v>197081</v>
      </c>
      <c r="J111" s="292"/>
      <c r="K111" s="292"/>
      <c r="L111" s="292"/>
      <c r="M111" s="292"/>
      <c r="N111" s="361"/>
    </row>
    <row r="112" spans="1:14" ht="63" hidden="1" x14ac:dyDescent="0.3">
      <c r="A112" s="353" t="s">
        <v>560</v>
      </c>
      <c r="B112" s="353" t="s">
        <v>551</v>
      </c>
      <c r="C112" s="353" t="s">
        <v>116</v>
      </c>
      <c r="D112" s="355" t="s">
        <v>561</v>
      </c>
      <c r="E112" s="355"/>
      <c r="F112" s="395"/>
      <c r="G112" s="288"/>
      <c r="H112" s="289"/>
      <c r="I112" s="290">
        <f>I114</f>
        <v>0</v>
      </c>
      <c r="J112" s="292">
        <v>0</v>
      </c>
      <c r="K112" s="292"/>
      <c r="L112" s="292">
        <v>0</v>
      </c>
      <c r="M112" s="292">
        <v>0</v>
      </c>
      <c r="N112" s="361"/>
    </row>
    <row r="113" spans="1:14" ht="21" hidden="1" x14ac:dyDescent="0.3">
      <c r="A113" s="353"/>
      <c r="B113" s="284"/>
      <c r="C113" s="353"/>
      <c r="D113" s="319" t="s">
        <v>539</v>
      </c>
      <c r="E113" s="355"/>
      <c r="F113" s="302"/>
      <c r="G113" s="288"/>
      <c r="H113" s="289"/>
      <c r="I113" s="290"/>
      <c r="J113" s="292"/>
      <c r="K113" s="292"/>
      <c r="L113" s="292"/>
      <c r="M113" s="292"/>
      <c r="N113" s="361"/>
    </row>
    <row r="114" spans="1:14" ht="130.5" hidden="1" customHeight="1" x14ac:dyDescent="0.3">
      <c r="A114" s="353"/>
      <c r="B114" s="284"/>
      <c r="C114" s="353"/>
      <c r="D114" s="355"/>
      <c r="E114" s="355" t="s">
        <v>562</v>
      </c>
      <c r="F114" s="302">
        <v>2019</v>
      </c>
      <c r="G114" s="396"/>
      <c r="H114" s="397"/>
      <c r="I114" s="290"/>
      <c r="J114" s="292"/>
      <c r="K114" s="292"/>
      <c r="L114" s="292"/>
      <c r="M114" s="292"/>
      <c r="N114" s="361"/>
    </row>
    <row r="115" spans="1:14" ht="126" hidden="1" x14ac:dyDescent="0.3">
      <c r="A115" s="353"/>
      <c r="B115" s="284"/>
      <c r="C115" s="353"/>
      <c r="D115" s="355" t="s">
        <v>563</v>
      </c>
      <c r="E115" s="355"/>
      <c r="F115" s="305"/>
      <c r="G115" s="288"/>
      <c r="H115" s="289"/>
      <c r="I115" s="290"/>
      <c r="J115" s="292"/>
      <c r="K115" s="292"/>
      <c r="L115" s="292"/>
      <c r="M115" s="292"/>
      <c r="N115" s="361"/>
    </row>
    <row r="116" spans="1:14" ht="21" hidden="1" x14ac:dyDescent="0.3">
      <c r="A116" s="353"/>
      <c r="B116" s="284"/>
      <c r="C116" s="353"/>
      <c r="D116" s="354"/>
      <c r="E116" s="355"/>
      <c r="F116" s="287"/>
      <c r="G116" s="290"/>
      <c r="H116" s="290"/>
      <c r="I116" s="290">
        <v>0</v>
      </c>
      <c r="J116" s="292">
        <v>0</v>
      </c>
      <c r="K116" s="292">
        <v>0</v>
      </c>
      <c r="L116" s="292">
        <v>0</v>
      </c>
      <c r="M116" s="292"/>
      <c r="N116" s="361"/>
    </row>
    <row r="117" spans="1:14" ht="59.25" hidden="1" customHeight="1" x14ac:dyDescent="0.3">
      <c r="A117" s="353"/>
      <c r="B117" s="284"/>
      <c r="C117" s="353"/>
      <c r="D117" s="354"/>
      <c r="E117" s="355"/>
      <c r="F117" s="287"/>
      <c r="G117" s="290"/>
      <c r="H117" s="290"/>
      <c r="I117" s="290">
        <v>0</v>
      </c>
      <c r="J117" s="292">
        <v>0</v>
      </c>
      <c r="K117" s="292">
        <v>0</v>
      </c>
      <c r="L117" s="292">
        <v>0</v>
      </c>
      <c r="M117" s="292"/>
      <c r="N117" s="361"/>
    </row>
    <row r="118" spans="1:14" ht="59.25" hidden="1" customHeight="1" x14ac:dyDescent="0.3">
      <c r="A118" s="353"/>
      <c r="B118" s="284"/>
      <c r="C118" s="353"/>
      <c r="D118" s="354"/>
      <c r="E118" s="355"/>
      <c r="F118" s="287"/>
      <c r="G118" s="288"/>
      <c r="H118" s="289"/>
      <c r="I118" s="290">
        <v>0</v>
      </c>
      <c r="J118" s="292"/>
      <c r="K118" s="292"/>
      <c r="L118" s="292">
        <v>0</v>
      </c>
      <c r="M118" s="292"/>
      <c r="N118" s="361"/>
    </row>
    <row r="119" spans="1:14" ht="59.25" hidden="1" customHeight="1" x14ac:dyDescent="0.3">
      <c r="A119" s="353"/>
      <c r="B119" s="284"/>
      <c r="C119" s="353"/>
      <c r="D119" s="354"/>
      <c r="E119" s="355"/>
      <c r="F119" s="287"/>
      <c r="G119" s="288"/>
      <c r="H119" s="289"/>
      <c r="I119" s="290">
        <v>0</v>
      </c>
      <c r="J119" s="292"/>
      <c r="K119" s="292"/>
      <c r="L119" s="292">
        <v>0</v>
      </c>
      <c r="M119" s="292"/>
      <c r="N119" s="361"/>
    </row>
    <row r="120" spans="1:14" ht="21" hidden="1" x14ac:dyDescent="0.3">
      <c r="A120" s="398" t="s">
        <v>161</v>
      </c>
      <c r="B120" s="398"/>
      <c r="C120" s="398"/>
      <c r="D120" s="399" t="s">
        <v>564</v>
      </c>
      <c r="E120" s="355"/>
      <c r="F120" s="287"/>
      <c r="G120" s="288"/>
      <c r="H120" s="289"/>
      <c r="I120" s="400">
        <f>I121</f>
        <v>0</v>
      </c>
      <c r="J120" s="292">
        <v>0</v>
      </c>
      <c r="K120" s="292">
        <v>0</v>
      </c>
      <c r="L120" s="292">
        <v>0</v>
      </c>
      <c r="M120" s="292"/>
      <c r="N120" s="361"/>
    </row>
    <row r="121" spans="1:14" ht="21" hidden="1" x14ac:dyDescent="0.3">
      <c r="A121" s="398" t="s">
        <v>460</v>
      </c>
      <c r="B121" s="398"/>
      <c r="C121" s="398"/>
      <c r="D121" s="399" t="s">
        <v>564</v>
      </c>
      <c r="E121" s="355"/>
      <c r="F121" s="287"/>
      <c r="G121" s="288"/>
      <c r="H121" s="289"/>
      <c r="I121" s="400">
        <f>I122</f>
        <v>0</v>
      </c>
      <c r="J121" s="292">
        <v>0</v>
      </c>
      <c r="K121" s="292">
        <v>0</v>
      </c>
      <c r="L121" s="292">
        <v>0</v>
      </c>
      <c r="M121" s="292"/>
      <c r="N121" s="361"/>
    </row>
    <row r="122" spans="1:14" ht="59.25" hidden="1" customHeight="1" x14ac:dyDescent="0.3">
      <c r="A122" s="353" t="s">
        <v>565</v>
      </c>
      <c r="B122" s="284" t="s">
        <v>566</v>
      </c>
      <c r="C122" s="353" t="s">
        <v>172</v>
      </c>
      <c r="D122" s="354" t="s">
        <v>567</v>
      </c>
      <c r="E122" s="355"/>
      <c r="F122" s="287"/>
      <c r="G122" s="288"/>
      <c r="H122" s="289"/>
      <c r="I122" s="290">
        <f>I124</f>
        <v>0</v>
      </c>
      <c r="J122" s="292">
        <v>0</v>
      </c>
      <c r="K122" s="292"/>
      <c r="L122" s="292">
        <v>0</v>
      </c>
      <c r="M122" s="292"/>
      <c r="N122" s="361"/>
    </row>
    <row r="123" spans="1:14" ht="21" hidden="1" x14ac:dyDescent="0.3">
      <c r="A123" s="353"/>
      <c r="B123" s="284"/>
      <c r="C123" s="353"/>
      <c r="D123" s="319" t="s">
        <v>539</v>
      </c>
      <c r="E123" s="355"/>
      <c r="F123" s="287"/>
      <c r="G123" s="288"/>
      <c r="H123" s="289"/>
      <c r="I123" s="290">
        <v>0</v>
      </c>
      <c r="J123" s="292">
        <v>0</v>
      </c>
      <c r="K123" s="292">
        <v>0</v>
      </c>
      <c r="L123" s="292">
        <v>0</v>
      </c>
      <c r="M123" s="292"/>
      <c r="N123" s="361"/>
    </row>
    <row r="124" spans="1:14" ht="105" hidden="1" x14ac:dyDescent="0.3">
      <c r="A124" s="353"/>
      <c r="B124" s="284"/>
      <c r="C124" s="353"/>
      <c r="D124" s="354"/>
      <c r="E124" s="355" t="s">
        <v>568</v>
      </c>
      <c r="F124" s="367" t="s">
        <v>559</v>
      </c>
      <c r="G124" s="288">
        <v>1625603</v>
      </c>
      <c r="H124" s="289"/>
      <c r="I124" s="290"/>
      <c r="J124" s="292">
        <v>0</v>
      </c>
      <c r="K124" s="292">
        <v>0</v>
      </c>
      <c r="L124" s="292">
        <v>0</v>
      </c>
      <c r="M124" s="292"/>
      <c r="N124" s="361">
        <v>100</v>
      </c>
    </row>
    <row r="125" spans="1:14" ht="59.25" hidden="1" customHeight="1" x14ac:dyDescent="0.3">
      <c r="A125" s="353"/>
      <c r="B125" s="284"/>
      <c r="C125" s="353"/>
      <c r="D125" s="354"/>
      <c r="E125" s="355"/>
      <c r="F125" s="304"/>
      <c r="G125" s="401"/>
      <c r="H125" s="402"/>
      <c r="I125" s="403">
        <v>0</v>
      </c>
      <c r="J125" s="287">
        <v>0</v>
      </c>
      <c r="K125" s="287"/>
      <c r="L125" s="410"/>
      <c r="M125" s="410"/>
      <c r="N125" s="411"/>
    </row>
    <row r="126" spans="1:14" s="357" customFormat="1" ht="59.25" hidden="1" customHeight="1" x14ac:dyDescent="0.3">
      <c r="A126" s="358"/>
      <c r="B126" s="284"/>
      <c r="C126" s="358"/>
      <c r="D126" s="359"/>
      <c r="E126" s="360"/>
      <c r="F126" s="406"/>
      <c r="G126" s="404"/>
      <c r="H126" s="407"/>
      <c r="I126" s="403">
        <v>0</v>
      </c>
      <c r="J126" s="287">
        <v>0</v>
      </c>
      <c r="K126" s="405">
        <v>0</v>
      </c>
      <c r="L126" s="408"/>
      <c r="M126" s="408"/>
      <c r="N126" s="409"/>
    </row>
    <row r="127" spans="1:14" ht="59.25" hidden="1" customHeight="1" thickBot="1" x14ac:dyDescent="0.35">
      <c r="A127" s="293"/>
      <c r="B127" s="293"/>
      <c r="C127" s="293"/>
      <c r="D127" s="332"/>
      <c r="E127" s="295"/>
      <c r="F127" s="296"/>
      <c r="G127" s="412"/>
      <c r="H127" s="413"/>
      <c r="I127" s="413"/>
      <c r="J127" s="299"/>
      <c r="K127" s="299"/>
      <c r="L127" s="414"/>
      <c r="M127" s="414"/>
      <c r="N127" s="415"/>
    </row>
    <row r="128" spans="1:14" s="427" customFormat="1" ht="33" customHeight="1" thickBot="1" x14ac:dyDescent="0.35">
      <c r="A128" s="416" t="s">
        <v>345</v>
      </c>
      <c r="B128" s="416" t="s">
        <v>345</v>
      </c>
      <c r="C128" s="416" t="s">
        <v>345</v>
      </c>
      <c r="D128" s="417" t="s">
        <v>10</v>
      </c>
      <c r="E128" s="418" t="s">
        <v>345</v>
      </c>
      <c r="F128" s="419" t="s">
        <v>345</v>
      </c>
      <c r="G128" s="420" t="s">
        <v>345</v>
      </c>
      <c r="H128" s="420" t="s">
        <v>496</v>
      </c>
      <c r="I128" s="421">
        <f>I11</f>
        <v>2735382</v>
      </c>
      <c r="J128" s="422">
        <v>28362700</v>
      </c>
      <c r="K128" s="423">
        <v>0</v>
      </c>
      <c r="L128" s="424">
        <v>0</v>
      </c>
      <c r="M128" s="425">
        <v>0</v>
      </c>
      <c r="N128" s="426" t="s">
        <v>345</v>
      </c>
    </row>
    <row r="129" spans="2:14" ht="18" x14ac:dyDescent="0.3">
      <c r="F129" s="428"/>
      <c r="G129" s="428"/>
      <c r="H129" s="428"/>
      <c r="I129" s="428"/>
      <c r="J129" s="428"/>
      <c r="K129" s="428"/>
      <c r="L129" s="428"/>
      <c r="M129" s="429"/>
      <c r="N129" s="429"/>
    </row>
    <row r="130" spans="2:14" ht="18" x14ac:dyDescent="0.3">
      <c r="D130" s="915"/>
      <c r="E130" s="916"/>
      <c r="F130" s="916"/>
      <c r="G130" s="916"/>
      <c r="H130" s="430"/>
      <c r="I130" s="428"/>
      <c r="J130" s="428"/>
      <c r="K130" s="428"/>
      <c r="L130" s="428"/>
      <c r="M130" s="429"/>
      <c r="N130" s="429"/>
    </row>
    <row r="131" spans="2:14" ht="18" x14ac:dyDescent="0.3">
      <c r="C131" s="589"/>
      <c r="D131" s="590" t="s">
        <v>676</v>
      </c>
      <c r="E131" s="590"/>
      <c r="F131" s="428"/>
      <c r="G131" s="428"/>
      <c r="H131" s="428"/>
      <c r="I131" s="428" t="s">
        <v>675</v>
      </c>
      <c r="J131" s="428"/>
      <c r="K131" s="428"/>
      <c r="L131" s="428"/>
      <c r="M131" s="429"/>
      <c r="N131" s="429"/>
    </row>
    <row r="132" spans="2:14" ht="18" x14ac:dyDescent="0.3">
      <c r="F132" s="428"/>
      <c r="G132" s="428"/>
      <c r="H132" s="428"/>
      <c r="I132" s="428"/>
      <c r="J132" s="428"/>
      <c r="K132" s="428"/>
      <c r="L132" s="428"/>
      <c r="M132" s="429"/>
      <c r="N132" s="429"/>
    </row>
    <row r="133" spans="2:14" ht="18" x14ac:dyDescent="0.3">
      <c r="F133" s="428"/>
      <c r="G133" s="428"/>
      <c r="H133" s="428"/>
      <c r="I133" s="428"/>
      <c r="J133" s="428"/>
      <c r="K133" s="428"/>
      <c r="L133" s="428"/>
      <c r="M133" s="429"/>
      <c r="N133" s="429"/>
    </row>
    <row r="134" spans="2:14" ht="18" x14ac:dyDescent="0.3">
      <c r="F134" s="428"/>
      <c r="G134" s="428"/>
      <c r="H134" s="428"/>
      <c r="I134" s="428"/>
      <c r="J134" s="428"/>
      <c r="K134" s="428"/>
      <c r="L134" s="428"/>
      <c r="M134" s="429"/>
      <c r="N134" s="429"/>
    </row>
    <row r="135" spans="2:14" ht="18" x14ac:dyDescent="0.3">
      <c r="F135" s="428"/>
      <c r="G135" s="428"/>
      <c r="H135" s="428"/>
      <c r="I135" s="428"/>
      <c r="J135" s="428"/>
      <c r="K135" s="428"/>
      <c r="L135" s="428"/>
      <c r="M135" s="429"/>
      <c r="N135" s="429"/>
    </row>
    <row r="136" spans="2:14" ht="18" x14ac:dyDescent="0.3">
      <c r="F136" s="428"/>
      <c r="G136" s="428"/>
      <c r="H136" s="428"/>
      <c r="I136" s="428"/>
      <c r="J136" s="428"/>
      <c r="K136" s="428"/>
      <c r="L136" s="428"/>
      <c r="M136" s="429"/>
      <c r="N136" s="429"/>
    </row>
    <row r="137" spans="2:14" ht="18" x14ac:dyDescent="0.3">
      <c r="F137" s="428"/>
      <c r="G137" s="428"/>
      <c r="H137" s="428"/>
      <c r="I137" s="428"/>
      <c r="J137" s="428"/>
      <c r="K137" s="428"/>
      <c r="L137" s="428"/>
      <c r="M137" s="429"/>
      <c r="N137" s="429"/>
    </row>
    <row r="138" spans="2:14" ht="18" x14ac:dyDescent="0.3">
      <c r="F138" s="428"/>
      <c r="G138" s="428"/>
      <c r="H138" s="428"/>
      <c r="I138" s="428"/>
      <c r="J138" s="428"/>
      <c r="K138" s="428"/>
      <c r="L138" s="428"/>
      <c r="M138" s="429"/>
      <c r="N138" s="429"/>
    </row>
    <row r="139" spans="2:14" ht="18" x14ac:dyDescent="0.3">
      <c r="F139" s="428"/>
      <c r="G139" s="428"/>
      <c r="H139" s="428"/>
      <c r="I139" s="428"/>
      <c r="J139" s="428"/>
      <c r="K139" s="428"/>
      <c r="L139" s="428"/>
      <c r="M139" s="429"/>
      <c r="N139" s="429"/>
    </row>
    <row r="140" spans="2:14" ht="18" x14ac:dyDescent="0.3">
      <c r="F140" s="428"/>
      <c r="G140" s="428"/>
      <c r="H140" s="428"/>
      <c r="I140" s="428"/>
      <c r="J140" s="428"/>
      <c r="K140" s="428"/>
      <c r="L140" s="428"/>
      <c r="M140" s="429"/>
      <c r="N140" s="429"/>
    </row>
    <row r="141" spans="2:14" ht="18" x14ac:dyDescent="0.3">
      <c r="B141" s="263"/>
      <c r="C141" s="263"/>
      <c r="D141" s="263"/>
      <c r="E141" s="263"/>
      <c r="F141" s="428"/>
      <c r="G141" s="428"/>
      <c r="H141" s="428"/>
      <c r="I141" s="428"/>
      <c r="J141" s="428"/>
      <c r="K141" s="428"/>
      <c r="L141" s="428"/>
      <c r="M141" s="429"/>
      <c r="N141" s="429"/>
    </row>
    <row r="142" spans="2:14" ht="18" x14ac:dyDescent="0.3">
      <c r="B142" s="263"/>
      <c r="C142" s="263"/>
      <c r="D142" s="263"/>
      <c r="E142" s="263"/>
      <c r="F142" s="428"/>
      <c r="G142" s="428"/>
      <c r="H142" s="428"/>
      <c r="I142" s="428"/>
      <c r="J142" s="428"/>
      <c r="K142" s="428"/>
      <c r="L142" s="428"/>
      <c r="M142" s="429"/>
      <c r="N142" s="429"/>
    </row>
    <row r="143" spans="2:14" ht="18" x14ac:dyDescent="0.3">
      <c r="B143" s="263"/>
      <c r="C143" s="263"/>
      <c r="D143" s="263"/>
      <c r="E143" s="263"/>
      <c r="F143" s="428"/>
      <c r="G143" s="428"/>
      <c r="H143" s="428"/>
      <c r="I143" s="428"/>
      <c r="J143" s="428"/>
      <c r="K143" s="428"/>
      <c r="L143" s="428"/>
      <c r="M143" s="429"/>
      <c r="N143" s="429"/>
    </row>
    <row r="144" spans="2:14" ht="18" x14ac:dyDescent="0.3">
      <c r="B144" s="263"/>
      <c r="C144" s="263"/>
      <c r="D144" s="263"/>
      <c r="E144" s="263"/>
      <c r="F144" s="428"/>
      <c r="G144" s="428"/>
      <c r="H144" s="428"/>
      <c r="I144" s="428"/>
      <c r="J144" s="428"/>
      <c r="K144" s="428"/>
      <c r="L144" s="428"/>
      <c r="M144" s="429"/>
      <c r="N144" s="429"/>
    </row>
    <row r="145" spans="2:14" ht="18" x14ac:dyDescent="0.3">
      <c r="B145" s="263"/>
      <c r="C145" s="263"/>
      <c r="D145" s="263"/>
      <c r="E145" s="263"/>
      <c r="F145" s="428"/>
      <c r="G145" s="428"/>
      <c r="H145" s="428"/>
      <c r="I145" s="428"/>
      <c r="J145" s="428"/>
      <c r="K145" s="428"/>
      <c r="L145" s="428"/>
      <c r="M145" s="429"/>
      <c r="N145" s="429"/>
    </row>
    <row r="146" spans="2:14" ht="18" x14ac:dyDescent="0.3">
      <c r="B146" s="263"/>
      <c r="C146" s="263"/>
      <c r="D146" s="263"/>
      <c r="E146" s="263"/>
      <c r="F146" s="428"/>
      <c r="G146" s="428"/>
      <c r="H146" s="428"/>
      <c r="I146" s="428"/>
      <c r="J146" s="428"/>
      <c r="K146" s="428"/>
      <c r="L146" s="428"/>
      <c r="M146" s="429"/>
      <c r="N146" s="429"/>
    </row>
    <row r="147" spans="2:14" ht="18" x14ac:dyDescent="0.3">
      <c r="B147" s="263"/>
      <c r="C147" s="263"/>
      <c r="D147" s="263"/>
      <c r="E147" s="263"/>
      <c r="F147" s="428"/>
      <c r="G147" s="428"/>
      <c r="H147" s="428"/>
      <c r="I147" s="428"/>
      <c r="J147" s="428"/>
      <c r="K147" s="428"/>
      <c r="L147" s="428"/>
      <c r="M147" s="429"/>
      <c r="N147" s="429"/>
    </row>
    <row r="148" spans="2:14" ht="18" x14ac:dyDescent="0.3">
      <c r="B148" s="263"/>
      <c r="C148" s="263"/>
      <c r="D148" s="263"/>
      <c r="E148" s="263"/>
      <c r="F148" s="428"/>
      <c r="G148" s="428"/>
      <c r="H148" s="428"/>
      <c r="I148" s="428"/>
      <c r="J148" s="428"/>
      <c r="K148" s="428"/>
      <c r="L148" s="428"/>
      <c r="M148" s="429"/>
      <c r="N148" s="429"/>
    </row>
    <row r="149" spans="2:14" ht="18" x14ac:dyDescent="0.3">
      <c r="B149" s="263"/>
      <c r="C149" s="263"/>
      <c r="D149" s="263"/>
      <c r="E149" s="263"/>
      <c r="F149" s="428"/>
      <c r="G149" s="428"/>
      <c r="H149" s="428"/>
      <c r="I149" s="428"/>
      <c r="J149" s="428"/>
      <c r="K149" s="428"/>
      <c r="L149" s="428"/>
      <c r="M149" s="429"/>
      <c r="N149" s="429"/>
    </row>
    <row r="150" spans="2:14" ht="18" x14ac:dyDescent="0.3">
      <c r="B150" s="263"/>
      <c r="C150" s="263"/>
      <c r="D150" s="263"/>
      <c r="E150" s="263"/>
      <c r="F150" s="428"/>
      <c r="G150" s="428"/>
      <c r="H150" s="428"/>
      <c r="I150" s="428"/>
      <c r="J150" s="428"/>
      <c r="K150" s="428"/>
      <c r="L150" s="428"/>
      <c r="M150" s="429"/>
      <c r="N150" s="429"/>
    </row>
    <row r="151" spans="2:14" ht="18" x14ac:dyDescent="0.3">
      <c r="B151" s="263"/>
      <c r="C151" s="263"/>
      <c r="D151" s="263"/>
      <c r="E151" s="263"/>
      <c r="F151" s="428"/>
      <c r="G151" s="428"/>
      <c r="H151" s="428"/>
      <c r="I151" s="428"/>
      <c r="J151" s="428"/>
      <c r="K151" s="428"/>
      <c r="L151" s="428"/>
      <c r="M151" s="429"/>
      <c r="N151" s="429"/>
    </row>
    <row r="152" spans="2:14" ht="18" x14ac:dyDescent="0.3">
      <c r="B152" s="263"/>
      <c r="C152" s="263"/>
      <c r="D152" s="263"/>
      <c r="E152" s="263"/>
      <c r="F152" s="428"/>
      <c r="G152" s="428"/>
      <c r="H152" s="428"/>
      <c r="I152" s="428"/>
      <c r="J152" s="428"/>
      <c r="K152" s="428"/>
      <c r="L152" s="428"/>
      <c r="M152" s="429"/>
      <c r="N152" s="429"/>
    </row>
    <row r="153" spans="2:14" ht="18" x14ac:dyDescent="0.3">
      <c r="B153" s="263"/>
      <c r="C153" s="263"/>
      <c r="D153" s="263"/>
      <c r="E153" s="263"/>
      <c r="F153" s="428"/>
      <c r="G153" s="428"/>
      <c r="H153" s="428"/>
      <c r="I153" s="428"/>
      <c r="J153" s="428"/>
      <c r="K153" s="428"/>
      <c r="L153" s="428"/>
      <c r="M153" s="429"/>
      <c r="N153" s="429"/>
    </row>
    <row r="154" spans="2:14" ht="18" x14ac:dyDescent="0.3">
      <c r="B154" s="263"/>
      <c r="C154" s="263"/>
      <c r="D154" s="263"/>
      <c r="E154" s="263"/>
      <c r="F154" s="428"/>
      <c r="G154" s="428"/>
      <c r="H154" s="428"/>
      <c r="I154" s="428"/>
      <c r="J154" s="428"/>
      <c r="K154" s="428"/>
      <c r="L154" s="428"/>
      <c r="M154" s="429"/>
      <c r="N154" s="429"/>
    </row>
    <row r="155" spans="2:14" ht="18" x14ac:dyDescent="0.3">
      <c r="B155" s="263"/>
      <c r="C155" s="263"/>
      <c r="D155" s="263"/>
      <c r="E155" s="263"/>
      <c r="F155" s="428"/>
      <c r="G155" s="428"/>
      <c r="H155" s="428"/>
      <c r="I155" s="428"/>
      <c r="J155" s="428"/>
      <c r="K155" s="428"/>
      <c r="L155" s="428"/>
      <c r="M155" s="429"/>
      <c r="N155" s="429"/>
    </row>
    <row r="156" spans="2:14" ht="18" x14ac:dyDescent="0.3">
      <c r="B156" s="263"/>
      <c r="C156" s="263"/>
      <c r="D156" s="263"/>
      <c r="E156" s="263"/>
      <c r="F156" s="428"/>
      <c r="G156" s="428"/>
      <c r="H156" s="428"/>
      <c r="I156" s="428"/>
      <c r="J156" s="428"/>
      <c r="K156" s="428"/>
      <c r="L156" s="428"/>
      <c r="M156" s="429"/>
      <c r="N156" s="429"/>
    </row>
    <row r="157" spans="2:14" ht="18" x14ac:dyDescent="0.3">
      <c r="B157" s="263"/>
      <c r="C157" s="263"/>
      <c r="D157" s="263"/>
      <c r="E157" s="263"/>
      <c r="F157" s="428"/>
      <c r="G157" s="428"/>
      <c r="H157" s="428"/>
      <c r="I157" s="428"/>
      <c r="J157" s="428"/>
      <c r="K157" s="428"/>
      <c r="L157" s="428"/>
      <c r="M157" s="429"/>
      <c r="N157" s="429"/>
    </row>
    <row r="158" spans="2:14" ht="18" x14ac:dyDescent="0.3">
      <c r="B158" s="263"/>
      <c r="C158" s="263"/>
      <c r="D158" s="263"/>
      <c r="E158" s="263"/>
      <c r="F158" s="428"/>
      <c r="G158" s="428"/>
      <c r="H158" s="428"/>
      <c r="I158" s="428"/>
      <c r="J158" s="428"/>
      <c r="K158" s="428"/>
      <c r="L158" s="428"/>
      <c r="M158" s="429"/>
      <c r="N158" s="429"/>
    </row>
    <row r="159" spans="2:14" ht="18" x14ac:dyDescent="0.3">
      <c r="B159" s="263"/>
      <c r="C159" s="263"/>
      <c r="D159" s="263"/>
      <c r="E159" s="263"/>
      <c r="F159" s="428"/>
      <c r="G159" s="428"/>
      <c r="H159" s="428"/>
      <c r="I159" s="428"/>
      <c r="J159" s="428"/>
      <c r="K159" s="428"/>
      <c r="L159" s="428"/>
      <c r="M159" s="429"/>
      <c r="N159" s="429"/>
    </row>
    <row r="160" spans="2:14" ht="18" x14ac:dyDescent="0.3">
      <c r="B160" s="263"/>
      <c r="C160" s="263"/>
      <c r="D160" s="263"/>
      <c r="E160" s="263"/>
      <c r="F160" s="428"/>
      <c r="G160" s="428"/>
      <c r="H160" s="428"/>
      <c r="I160" s="428"/>
      <c r="J160" s="428"/>
      <c r="K160" s="428"/>
      <c r="L160" s="428"/>
      <c r="M160" s="429"/>
      <c r="N160" s="429"/>
    </row>
    <row r="175" spans="2:14" x14ac:dyDescent="0.3">
      <c r="B175" s="431"/>
      <c r="C175" s="263"/>
      <c r="D175" s="263"/>
      <c r="E175" s="263"/>
      <c r="F175" s="263"/>
      <c r="G175" s="263"/>
      <c r="H175" s="263"/>
      <c r="I175" s="263"/>
      <c r="J175" s="263"/>
      <c r="K175" s="263"/>
      <c r="L175" s="263"/>
      <c r="M175" s="357"/>
      <c r="N175" s="357"/>
    </row>
    <row r="176" spans="2:14" x14ac:dyDescent="0.3">
      <c r="B176" s="431"/>
      <c r="C176" s="263"/>
      <c r="D176" s="263"/>
      <c r="E176" s="263"/>
      <c r="F176" s="263"/>
      <c r="G176" s="263"/>
      <c r="H176" s="263"/>
      <c r="I176" s="263"/>
      <c r="J176" s="263"/>
      <c r="K176" s="263"/>
      <c r="L176" s="263"/>
      <c r="M176" s="357"/>
      <c r="N176" s="357"/>
    </row>
    <row r="177" spans="2:14" x14ac:dyDescent="0.3">
      <c r="B177" s="431"/>
      <c r="C177" s="263"/>
      <c r="D177" s="263"/>
      <c r="E177" s="263"/>
      <c r="F177" s="263"/>
      <c r="G177" s="263"/>
      <c r="H177" s="263"/>
      <c r="I177" s="263"/>
      <c r="J177" s="263"/>
      <c r="K177" s="263"/>
      <c r="L177" s="263"/>
      <c r="M177" s="357"/>
      <c r="N177" s="357"/>
    </row>
    <row r="178" spans="2:14" x14ac:dyDescent="0.3">
      <c r="B178" s="431"/>
      <c r="C178" s="263"/>
      <c r="D178" s="263"/>
      <c r="E178" s="263"/>
      <c r="F178" s="263"/>
      <c r="G178" s="263"/>
      <c r="H178" s="263"/>
      <c r="I178" s="263"/>
      <c r="J178" s="263"/>
      <c r="K178" s="263"/>
      <c r="L178" s="263"/>
      <c r="M178" s="357"/>
      <c r="N178" s="357"/>
    </row>
    <row r="179" spans="2:14" x14ac:dyDescent="0.3">
      <c r="B179" s="431"/>
      <c r="C179" s="263"/>
      <c r="D179" s="263"/>
      <c r="E179" s="263"/>
      <c r="F179" s="263"/>
      <c r="G179" s="263"/>
      <c r="H179" s="263"/>
      <c r="I179" s="263"/>
      <c r="J179" s="263"/>
      <c r="K179" s="263"/>
      <c r="L179" s="263"/>
      <c r="M179" s="357"/>
      <c r="N179" s="357"/>
    </row>
    <row r="180" spans="2:14" x14ac:dyDescent="0.3">
      <c r="B180" s="431"/>
      <c r="C180" s="263"/>
      <c r="D180" s="263"/>
      <c r="E180" s="263"/>
      <c r="F180" s="263"/>
      <c r="G180" s="263"/>
      <c r="H180" s="263"/>
      <c r="I180" s="263"/>
      <c r="J180" s="263"/>
      <c r="K180" s="263"/>
      <c r="L180" s="263"/>
      <c r="M180" s="357"/>
      <c r="N180" s="357"/>
    </row>
    <row r="181" spans="2:14" x14ac:dyDescent="0.3">
      <c r="B181" s="431"/>
      <c r="C181" s="263"/>
      <c r="D181" s="263"/>
      <c r="E181" s="263"/>
      <c r="F181" s="263"/>
      <c r="G181" s="263"/>
      <c r="H181" s="263"/>
      <c r="I181" s="263"/>
      <c r="J181" s="263"/>
      <c r="K181" s="263"/>
      <c r="L181" s="263"/>
      <c r="M181" s="357"/>
      <c r="N181" s="357"/>
    </row>
    <row r="182" spans="2:14" x14ac:dyDescent="0.3">
      <c r="B182" s="431"/>
      <c r="C182" s="263"/>
      <c r="D182" s="263"/>
      <c r="E182" s="263"/>
      <c r="F182" s="263"/>
      <c r="G182" s="263"/>
      <c r="H182" s="263"/>
      <c r="I182" s="263"/>
      <c r="J182" s="263"/>
      <c r="K182" s="263"/>
      <c r="L182" s="263"/>
      <c r="M182" s="357"/>
      <c r="N182" s="357"/>
    </row>
    <row r="183" spans="2:14" x14ac:dyDescent="0.3">
      <c r="B183" s="431"/>
      <c r="C183" s="263"/>
      <c r="D183" s="263"/>
      <c r="E183" s="263"/>
      <c r="F183" s="263"/>
      <c r="G183" s="263"/>
      <c r="H183" s="263"/>
      <c r="I183" s="263"/>
      <c r="J183" s="263"/>
      <c r="K183" s="263"/>
      <c r="L183" s="263"/>
      <c r="M183" s="357"/>
      <c r="N183" s="357"/>
    </row>
    <row r="184" spans="2:14" x14ac:dyDescent="0.3">
      <c r="B184" s="431"/>
      <c r="C184" s="263"/>
      <c r="D184" s="263"/>
      <c r="E184" s="263"/>
      <c r="F184" s="263"/>
      <c r="G184" s="263"/>
      <c r="H184" s="263"/>
      <c r="I184" s="263"/>
      <c r="J184" s="263"/>
      <c r="K184" s="263"/>
      <c r="L184" s="263"/>
      <c r="M184" s="357"/>
      <c r="N184" s="357"/>
    </row>
    <row r="185" spans="2:14" x14ac:dyDescent="0.3">
      <c r="B185" s="431"/>
      <c r="C185" s="263"/>
      <c r="D185" s="263"/>
      <c r="E185" s="263"/>
      <c r="F185" s="263"/>
      <c r="G185" s="263"/>
      <c r="H185" s="263"/>
      <c r="I185" s="263"/>
      <c r="J185" s="263"/>
      <c r="K185" s="263"/>
      <c r="L185" s="263"/>
      <c r="M185" s="357"/>
      <c r="N185" s="357"/>
    </row>
    <row r="186" spans="2:14" x14ac:dyDescent="0.3">
      <c r="B186" s="431"/>
      <c r="C186" s="263"/>
      <c r="D186" s="263"/>
      <c r="E186" s="263"/>
      <c r="F186" s="263"/>
      <c r="G186" s="263"/>
      <c r="H186" s="263"/>
      <c r="I186" s="263"/>
      <c r="J186" s="263"/>
      <c r="K186" s="263"/>
      <c r="L186" s="263"/>
      <c r="M186" s="357"/>
      <c r="N186" s="357"/>
    </row>
    <row r="187" spans="2:14" x14ac:dyDescent="0.3">
      <c r="B187" s="431"/>
      <c r="C187" s="263"/>
      <c r="D187" s="263"/>
      <c r="E187" s="263"/>
      <c r="F187" s="263"/>
      <c r="G187" s="263"/>
      <c r="H187" s="263"/>
      <c r="I187" s="263"/>
      <c r="J187" s="263"/>
      <c r="K187" s="263"/>
      <c r="L187" s="263"/>
      <c r="M187" s="357"/>
      <c r="N187" s="357"/>
    </row>
    <row r="188" spans="2:14" x14ac:dyDescent="0.3">
      <c r="B188" s="431"/>
      <c r="C188" s="263"/>
      <c r="D188" s="263"/>
      <c r="E188" s="263"/>
      <c r="F188" s="263"/>
      <c r="G188" s="263"/>
      <c r="H188" s="263"/>
      <c r="I188" s="263"/>
      <c r="J188" s="263"/>
      <c r="K188" s="263"/>
      <c r="L188" s="263"/>
      <c r="M188" s="357"/>
      <c r="N188" s="357"/>
    </row>
    <row r="189" spans="2:14" x14ac:dyDescent="0.3">
      <c r="B189" s="431"/>
      <c r="C189" s="263"/>
      <c r="D189" s="263"/>
      <c r="E189" s="263"/>
      <c r="F189" s="263"/>
      <c r="G189" s="263"/>
      <c r="H189" s="263"/>
      <c r="I189" s="263"/>
      <c r="J189" s="263"/>
      <c r="K189" s="263"/>
      <c r="L189" s="263"/>
      <c r="M189" s="357"/>
      <c r="N189" s="357"/>
    </row>
    <row r="190" spans="2:14" x14ac:dyDescent="0.3">
      <c r="B190" s="431"/>
      <c r="C190" s="263"/>
      <c r="D190" s="263"/>
      <c r="E190" s="263"/>
      <c r="F190" s="263"/>
      <c r="G190" s="263"/>
      <c r="H190" s="263"/>
      <c r="I190" s="263"/>
      <c r="J190" s="263"/>
      <c r="K190" s="263"/>
      <c r="L190" s="263"/>
      <c r="M190" s="357"/>
      <c r="N190" s="357"/>
    </row>
    <row r="191" spans="2:14" x14ac:dyDescent="0.3">
      <c r="B191" s="431"/>
      <c r="C191" s="263"/>
      <c r="D191" s="263"/>
      <c r="E191" s="263"/>
      <c r="F191" s="263"/>
      <c r="G191" s="263"/>
      <c r="H191" s="263"/>
      <c r="I191" s="263"/>
      <c r="J191" s="263"/>
      <c r="K191" s="263"/>
      <c r="L191" s="263"/>
      <c r="M191" s="357"/>
      <c r="N191" s="357"/>
    </row>
    <row r="192" spans="2:14" x14ac:dyDescent="0.3">
      <c r="B192" s="431"/>
      <c r="C192" s="263"/>
      <c r="D192" s="263"/>
      <c r="E192" s="263"/>
      <c r="F192" s="263"/>
      <c r="G192" s="263"/>
      <c r="H192" s="263"/>
      <c r="I192" s="263"/>
      <c r="J192" s="263"/>
      <c r="K192" s="263"/>
      <c r="L192" s="263"/>
      <c r="M192" s="357"/>
      <c r="N192" s="357"/>
    </row>
    <row r="193" spans="2:14" x14ac:dyDescent="0.3">
      <c r="B193" s="431"/>
      <c r="C193" s="263"/>
      <c r="D193" s="263"/>
      <c r="E193" s="263"/>
      <c r="F193" s="263"/>
      <c r="G193" s="263"/>
      <c r="H193" s="263"/>
      <c r="I193" s="263"/>
      <c r="J193" s="263"/>
      <c r="K193" s="263"/>
      <c r="L193" s="263"/>
      <c r="M193" s="357"/>
      <c r="N193" s="357"/>
    </row>
    <row r="194" spans="2:14" x14ac:dyDescent="0.3">
      <c r="B194" s="431"/>
      <c r="C194" s="263"/>
      <c r="D194" s="263"/>
      <c r="E194" s="263"/>
      <c r="F194" s="263"/>
      <c r="G194" s="263"/>
      <c r="H194" s="263"/>
      <c r="I194" s="263"/>
      <c r="J194" s="263"/>
      <c r="K194" s="263"/>
      <c r="L194" s="263"/>
      <c r="M194" s="357"/>
      <c r="N194" s="357"/>
    </row>
    <row r="195" spans="2:14" x14ac:dyDescent="0.3">
      <c r="B195" s="431"/>
      <c r="C195" s="263"/>
      <c r="D195" s="263"/>
      <c r="E195" s="263"/>
      <c r="F195" s="263"/>
      <c r="G195" s="263"/>
      <c r="H195" s="263"/>
      <c r="I195" s="263"/>
      <c r="J195" s="263"/>
      <c r="K195" s="263"/>
      <c r="L195" s="263"/>
      <c r="M195" s="357"/>
      <c r="N195" s="357"/>
    </row>
    <row r="196" spans="2:14" x14ac:dyDescent="0.3">
      <c r="B196" s="431"/>
      <c r="C196" s="263"/>
      <c r="D196" s="263"/>
      <c r="E196" s="263"/>
      <c r="F196" s="263"/>
      <c r="G196" s="263"/>
      <c r="H196" s="263"/>
      <c r="I196" s="263"/>
      <c r="J196" s="263"/>
      <c r="K196" s="263"/>
      <c r="L196" s="263"/>
      <c r="M196" s="357"/>
      <c r="N196" s="357"/>
    </row>
    <row r="197" spans="2:14" x14ac:dyDescent="0.3">
      <c r="B197" s="431"/>
      <c r="C197" s="263"/>
      <c r="D197" s="263"/>
      <c r="E197" s="263"/>
      <c r="F197" s="263"/>
      <c r="G197" s="263"/>
      <c r="H197" s="263"/>
      <c r="I197" s="263"/>
      <c r="J197" s="263"/>
      <c r="K197" s="263"/>
      <c r="L197" s="263"/>
      <c r="M197" s="357"/>
      <c r="N197" s="357"/>
    </row>
    <row r="198" spans="2:14" x14ac:dyDescent="0.3">
      <c r="B198" s="431"/>
      <c r="C198" s="263"/>
      <c r="D198" s="263"/>
      <c r="E198" s="263"/>
      <c r="F198" s="263"/>
      <c r="G198" s="263"/>
      <c r="H198" s="263"/>
      <c r="I198" s="263"/>
      <c r="J198" s="263"/>
      <c r="K198" s="263"/>
      <c r="L198" s="263"/>
      <c r="M198" s="357"/>
      <c r="N198" s="357"/>
    </row>
    <row r="199" spans="2:14" x14ac:dyDescent="0.3">
      <c r="B199" s="431"/>
      <c r="C199" s="263"/>
      <c r="D199" s="263"/>
      <c r="E199" s="263"/>
      <c r="F199" s="263"/>
      <c r="G199" s="263"/>
      <c r="H199" s="263"/>
      <c r="I199" s="263"/>
      <c r="J199" s="263"/>
      <c r="K199" s="263"/>
      <c r="L199" s="263"/>
      <c r="M199" s="357"/>
      <c r="N199" s="357"/>
    </row>
    <row r="200" spans="2:14" x14ac:dyDescent="0.3">
      <c r="B200" s="431"/>
      <c r="C200" s="263"/>
      <c r="D200" s="263"/>
      <c r="E200" s="263"/>
      <c r="F200" s="263"/>
      <c r="G200" s="263"/>
      <c r="H200" s="263"/>
      <c r="I200" s="263"/>
      <c r="J200" s="263"/>
      <c r="K200" s="263"/>
      <c r="L200" s="263"/>
      <c r="M200" s="357"/>
      <c r="N200" s="357"/>
    </row>
    <row r="201" spans="2:14" x14ac:dyDescent="0.3">
      <c r="B201" s="431"/>
      <c r="C201" s="263"/>
      <c r="D201" s="263"/>
      <c r="E201" s="263"/>
      <c r="F201" s="263"/>
      <c r="G201" s="263"/>
      <c r="H201" s="263"/>
      <c r="I201" s="263"/>
      <c r="J201" s="263"/>
      <c r="K201" s="263"/>
      <c r="L201" s="263"/>
      <c r="M201" s="357"/>
      <c r="N201" s="357"/>
    </row>
  </sheetData>
  <mergeCells count="16">
    <mergeCell ref="D130:G130"/>
    <mergeCell ref="G7:G8"/>
    <mergeCell ref="H7:H8"/>
    <mergeCell ref="I7:I8"/>
    <mergeCell ref="G1:J1"/>
    <mergeCell ref="A4:N4"/>
    <mergeCell ref="A5:C5"/>
    <mergeCell ref="A6:C6"/>
    <mergeCell ref="A7:A8"/>
    <mergeCell ref="B7:B8"/>
    <mergeCell ref="C7:C8"/>
    <mergeCell ref="D7:D8"/>
    <mergeCell ref="E7:E8"/>
    <mergeCell ref="F7:F8"/>
    <mergeCell ref="N7:N8"/>
    <mergeCell ref="J7:M7"/>
  </mergeCells>
  <printOptions horizontalCentered="1"/>
  <pageMargins left="0.78740157480314965" right="0.78740157480314965" top="1.1811023622047245" bottom="0.39370078740157483" header="0.23622047244094491" footer="0.11811023622047245"/>
  <pageSetup paperSize="9" scale="48" fitToHeight="4" orientation="landscape" r:id="rId1"/>
  <headerFooter differentFirst="1" alignWithMargins="0">
    <oddHeader>&amp;C&amp;"Times New Roman,полужирный"&amp;14&amp;P&amp;R
&amp;"Times New Roman,полужирный"&amp;14Продовження додатка 6</oddHeader>
  </headerFooter>
  <rowBreaks count="5" manualBreakCount="5">
    <brk id="25" max="16383" man="1"/>
    <brk id="39" max="16383" man="1"/>
    <brk id="59" max="16383" man="1"/>
    <brk id="90" max="16383" man="1"/>
    <brk id="11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7"/>
  <sheetViews>
    <sheetView topLeftCell="A70" workbookViewId="0">
      <selection activeCell="J72" sqref="J72"/>
    </sheetView>
  </sheetViews>
  <sheetFormatPr defaultColWidth="9.109375" defaultRowHeight="13.2" x14ac:dyDescent="0.25"/>
  <cols>
    <col min="1" max="1" width="8" style="1" customWidth="1"/>
    <col min="2" max="2" width="6.88671875" style="1" customWidth="1"/>
    <col min="3" max="3" width="6.33203125" style="1" customWidth="1"/>
    <col min="4" max="4" width="44" style="1" customWidth="1"/>
    <col min="5" max="5" width="39.77734375" style="1" customWidth="1"/>
    <col min="6" max="6" width="18.109375" style="1" customWidth="1"/>
    <col min="7" max="7" width="12" style="1" customWidth="1"/>
    <col min="8" max="8" width="11" style="1" customWidth="1"/>
    <col min="9" max="9" width="11.21875" style="1" customWidth="1"/>
    <col min="10" max="10" width="12.33203125" style="1" customWidth="1"/>
    <col min="11" max="11" width="13" style="1" customWidth="1"/>
    <col min="12" max="21" width="9.109375" style="1" customWidth="1"/>
    <col min="22" max="22" width="12.77734375" style="1" customWidth="1"/>
    <col min="23" max="16384" width="9.109375" style="1"/>
  </cols>
  <sheetData>
    <row r="1" spans="1:10" x14ac:dyDescent="0.25">
      <c r="G1" s="1" t="s">
        <v>0</v>
      </c>
    </row>
    <row r="2" spans="1:10" x14ac:dyDescent="0.25">
      <c r="G2" s="1" t="s">
        <v>866</v>
      </c>
    </row>
    <row r="3" spans="1:10" x14ac:dyDescent="0.25">
      <c r="G3" s="1" t="s">
        <v>1030</v>
      </c>
    </row>
    <row r="4" spans="1:10" ht="12.75" customHeight="1" x14ac:dyDescent="0.25">
      <c r="A4" s="942" t="s">
        <v>785</v>
      </c>
      <c r="B4" s="943"/>
      <c r="C4" s="943"/>
      <c r="D4" s="943"/>
      <c r="E4" s="943"/>
      <c r="F4" s="943"/>
      <c r="G4" s="943"/>
      <c r="H4" s="943"/>
      <c r="I4" s="943"/>
      <c r="J4" s="943"/>
    </row>
    <row r="5" spans="1:10" x14ac:dyDescent="0.25">
      <c r="A5" s="432" t="s">
        <v>1</v>
      </c>
    </row>
    <row r="6" spans="1:10" ht="13.8" thickBot="1" x14ac:dyDescent="0.3">
      <c r="A6" s="1" t="s">
        <v>2</v>
      </c>
      <c r="J6" s="2" t="s">
        <v>3</v>
      </c>
    </row>
    <row r="7" spans="1:10" ht="12.75" customHeight="1" x14ac:dyDescent="0.25">
      <c r="A7" s="944" t="s">
        <v>4</v>
      </c>
      <c r="B7" s="946" t="s">
        <v>5</v>
      </c>
      <c r="C7" s="946" t="s">
        <v>6</v>
      </c>
      <c r="D7" s="948" t="s">
        <v>7</v>
      </c>
      <c r="E7" s="948" t="s">
        <v>8</v>
      </c>
      <c r="F7" s="946" t="s">
        <v>9</v>
      </c>
      <c r="G7" s="949" t="s">
        <v>10</v>
      </c>
      <c r="H7" s="949" t="s">
        <v>11</v>
      </c>
      <c r="I7" s="949" t="s">
        <v>12</v>
      </c>
      <c r="J7" s="951"/>
    </row>
    <row r="8" spans="1:10" ht="110.4" customHeight="1" x14ac:dyDescent="0.25">
      <c r="A8" s="945"/>
      <c r="B8" s="947"/>
      <c r="C8" s="947"/>
      <c r="D8" s="947"/>
      <c r="E8" s="947"/>
      <c r="F8" s="947"/>
      <c r="G8" s="950"/>
      <c r="H8" s="950"/>
      <c r="I8" s="799" t="s">
        <v>13</v>
      </c>
      <c r="J8" s="574" t="s">
        <v>14</v>
      </c>
    </row>
    <row r="9" spans="1:10" x14ac:dyDescent="0.25">
      <c r="A9" s="6">
        <v>1</v>
      </c>
      <c r="B9" s="3">
        <v>2</v>
      </c>
      <c r="C9" s="3">
        <v>3</v>
      </c>
      <c r="D9" s="3">
        <v>4</v>
      </c>
      <c r="E9" s="3">
        <v>5</v>
      </c>
      <c r="F9" s="3">
        <v>6</v>
      </c>
      <c r="G9" s="575">
        <v>7</v>
      </c>
      <c r="H9" s="575">
        <v>8</v>
      </c>
      <c r="I9" s="575">
        <v>9</v>
      </c>
      <c r="J9" s="576">
        <v>10</v>
      </c>
    </row>
    <row r="10" spans="1:10" x14ac:dyDescent="0.25">
      <c r="A10" s="7" t="s">
        <v>15</v>
      </c>
      <c r="B10" s="4" t="s">
        <v>16</v>
      </c>
      <c r="C10" s="4" t="s">
        <v>16</v>
      </c>
      <c r="D10" s="4" t="s">
        <v>697</v>
      </c>
      <c r="E10" s="4" t="s">
        <v>16</v>
      </c>
      <c r="F10" s="4" t="s">
        <v>16</v>
      </c>
      <c r="G10" s="577">
        <f>SUM(G11:G54)-G45</f>
        <v>17609045.18</v>
      </c>
      <c r="H10" s="577">
        <f>SUM(H11:H54)-H45</f>
        <v>13864679</v>
      </c>
      <c r="I10" s="577">
        <f>SUM(I11:I54)-I45</f>
        <v>3744366.1799999997</v>
      </c>
      <c r="J10" s="616">
        <f>SUM(J11:J54)-J45</f>
        <v>3545182</v>
      </c>
    </row>
    <row r="11" spans="1:10" ht="68.25" customHeight="1" x14ac:dyDescent="0.25">
      <c r="A11" s="8" t="s">
        <v>17</v>
      </c>
      <c r="B11" s="798" t="s">
        <v>18</v>
      </c>
      <c r="C11" s="5" t="s">
        <v>19</v>
      </c>
      <c r="D11" s="5" t="s">
        <v>20</v>
      </c>
      <c r="E11" s="5" t="s">
        <v>21</v>
      </c>
      <c r="F11" s="5" t="s">
        <v>927</v>
      </c>
      <c r="G11" s="578">
        <f>H11+I11</f>
        <v>282443</v>
      </c>
      <c r="H11" s="579">
        <f>165443+68000+49000</f>
        <v>282443</v>
      </c>
      <c r="I11" s="579">
        <v>0</v>
      </c>
      <c r="J11" s="580">
        <v>0</v>
      </c>
    </row>
    <row r="12" spans="1:10" ht="55.5" customHeight="1" x14ac:dyDescent="0.25">
      <c r="A12" s="8" t="s">
        <v>23</v>
      </c>
      <c r="B12" s="798" t="s">
        <v>24</v>
      </c>
      <c r="C12" s="5" t="s">
        <v>25</v>
      </c>
      <c r="D12" s="5" t="s">
        <v>26</v>
      </c>
      <c r="E12" s="5" t="s">
        <v>21</v>
      </c>
      <c r="F12" s="5" t="s">
        <v>927</v>
      </c>
      <c r="G12" s="578">
        <f t="shared" ref="G12:G97" si="0">H12+I12</f>
        <v>357910</v>
      </c>
      <c r="H12" s="579">
        <f>278000+79910</f>
        <v>357910</v>
      </c>
      <c r="I12" s="579">
        <v>0</v>
      </c>
      <c r="J12" s="580">
        <v>0</v>
      </c>
    </row>
    <row r="13" spans="1:10" ht="42" customHeight="1" x14ac:dyDescent="0.25">
      <c r="A13" s="8" t="s">
        <v>23</v>
      </c>
      <c r="B13" s="798" t="s">
        <v>24</v>
      </c>
      <c r="C13" s="5" t="s">
        <v>25</v>
      </c>
      <c r="D13" s="5" t="s">
        <v>26</v>
      </c>
      <c r="E13" s="5" t="s">
        <v>802</v>
      </c>
      <c r="F13" s="5" t="s">
        <v>677</v>
      </c>
      <c r="G13" s="578">
        <f t="shared" si="0"/>
        <v>35000</v>
      </c>
      <c r="H13" s="579">
        <f>15000+20000</f>
        <v>35000</v>
      </c>
      <c r="I13" s="579"/>
      <c r="J13" s="580"/>
    </row>
    <row r="14" spans="1:10" ht="52.8" x14ac:dyDescent="0.25">
      <c r="A14" s="8" t="s">
        <v>23</v>
      </c>
      <c r="B14" s="798" t="s">
        <v>24</v>
      </c>
      <c r="C14" s="5" t="s">
        <v>25</v>
      </c>
      <c r="D14" s="5" t="s">
        <v>26</v>
      </c>
      <c r="E14" s="5" t="s">
        <v>90</v>
      </c>
      <c r="F14" s="5" t="s">
        <v>91</v>
      </c>
      <c r="G14" s="578">
        <f t="shared" si="0"/>
        <v>3360</v>
      </c>
      <c r="H14" s="579">
        <v>3360</v>
      </c>
      <c r="I14" s="579"/>
      <c r="J14" s="580"/>
    </row>
    <row r="15" spans="1:10" ht="53.25" hidden="1" customHeight="1" x14ac:dyDescent="0.25">
      <c r="A15" s="8" t="s">
        <v>27</v>
      </c>
      <c r="B15" s="798" t="s">
        <v>28</v>
      </c>
      <c r="C15" s="5" t="s">
        <v>29</v>
      </c>
      <c r="D15" s="5" t="s">
        <v>30</v>
      </c>
      <c r="E15" s="5" t="s">
        <v>31</v>
      </c>
      <c r="F15" s="5" t="s">
        <v>32</v>
      </c>
      <c r="G15" s="578">
        <f t="shared" si="0"/>
        <v>0</v>
      </c>
      <c r="H15" s="579">
        <f>12000-12000</f>
        <v>0</v>
      </c>
      <c r="I15" s="579">
        <v>0</v>
      </c>
      <c r="J15" s="580">
        <v>0</v>
      </c>
    </row>
    <row r="16" spans="1:10" ht="56.25" hidden="1" customHeight="1" x14ac:dyDescent="0.25">
      <c r="A16" s="8" t="s">
        <v>33</v>
      </c>
      <c r="B16" s="798" t="s">
        <v>34</v>
      </c>
      <c r="C16" s="5" t="s">
        <v>35</v>
      </c>
      <c r="D16" s="5" t="s">
        <v>36</v>
      </c>
      <c r="E16" s="5" t="s">
        <v>31</v>
      </c>
      <c r="F16" s="5" t="s">
        <v>32</v>
      </c>
      <c r="G16" s="578">
        <f t="shared" si="0"/>
        <v>0</v>
      </c>
      <c r="H16" s="579">
        <f>60000-60000</f>
        <v>0</v>
      </c>
      <c r="I16" s="579">
        <f>60000-60000</f>
        <v>0</v>
      </c>
      <c r="J16" s="580">
        <v>0</v>
      </c>
    </row>
    <row r="17" spans="1:10" ht="54.75" customHeight="1" x14ac:dyDescent="0.25">
      <c r="A17" s="8" t="s">
        <v>37</v>
      </c>
      <c r="B17" s="798" t="s">
        <v>38</v>
      </c>
      <c r="C17" s="5" t="s">
        <v>39</v>
      </c>
      <c r="D17" s="5" t="s">
        <v>40</v>
      </c>
      <c r="E17" s="5" t="s">
        <v>31</v>
      </c>
      <c r="F17" s="5" t="s">
        <v>32</v>
      </c>
      <c r="G17" s="578">
        <f t="shared" si="0"/>
        <v>23000</v>
      </c>
      <c r="H17" s="579">
        <v>23000</v>
      </c>
      <c r="I17" s="579">
        <v>0</v>
      </c>
      <c r="J17" s="580">
        <v>0</v>
      </c>
    </row>
    <row r="18" spans="1:10" ht="45" customHeight="1" x14ac:dyDescent="0.25">
      <c r="A18" s="8" t="s">
        <v>41</v>
      </c>
      <c r="B18" s="798" t="s">
        <v>42</v>
      </c>
      <c r="C18" s="5" t="s">
        <v>39</v>
      </c>
      <c r="D18" s="5" t="s">
        <v>43</v>
      </c>
      <c r="E18" s="5" t="s">
        <v>44</v>
      </c>
      <c r="F18" s="5" t="s">
        <v>45</v>
      </c>
      <c r="G18" s="578">
        <f t="shared" si="0"/>
        <v>20000</v>
      </c>
      <c r="H18" s="579">
        <v>20000</v>
      </c>
      <c r="I18" s="579">
        <v>0</v>
      </c>
      <c r="J18" s="580">
        <v>0</v>
      </c>
    </row>
    <row r="19" spans="1:10" ht="52.8" hidden="1" x14ac:dyDescent="0.25">
      <c r="A19" s="8" t="s">
        <v>46</v>
      </c>
      <c r="B19" s="798" t="s">
        <v>47</v>
      </c>
      <c r="C19" s="5" t="s">
        <v>39</v>
      </c>
      <c r="D19" s="5" t="s">
        <v>48</v>
      </c>
      <c r="E19" s="5" t="s">
        <v>49</v>
      </c>
      <c r="F19" s="5" t="s">
        <v>50</v>
      </c>
      <c r="G19" s="578">
        <f t="shared" si="0"/>
        <v>0</v>
      </c>
      <c r="H19" s="579">
        <f>195000-195000</f>
        <v>0</v>
      </c>
      <c r="I19" s="579">
        <v>0</v>
      </c>
      <c r="J19" s="580">
        <v>0</v>
      </c>
    </row>
    <row r="20" spans="1:10" ht="80.25" hidden="1" customHeight="1" x14ac:dyDescent="0.25">
      <c r="A20" s="8" t="s">
        <v>51</v>
      </c>
      <c r="B20" s="798" t="s">
        <v>52</v>
      </c>
      <c r="C20" s="5" t="s">
        <v>53</v>
      </c>
      <c r="D20" s="5" t="s">
        <v>54</v>
      </c>
      <c r="E20" s="5" t="s">
        <v>31</v>
      </c>
      <c r="F20" s="5" t="s">
        <v>32</v>
      </c>
      <c r="G20" s="578">
        <f t="shared" si="0"/>
        <v>0</v>
      </c>
      <c r="H20" s="579">
        <f>43467-35000-8467</f>
        <v>0</v>
      </c>
      <c r="I20" s="579">
        <v>0</v>
      </c>
      <c r="J20" s="580">
        <v>0</v>
      </c>
    </row>
    <row r="21" spans="1:10" ht="54" hidden="1" customHeight="1" x14ac:dyDescent="0.25">
      <c r="A21" s="8" t="s">
        <v>55</v>
      </c>
      <c r="B21" s="798" t="s">
        <v>56</v>
      </c>
      <c r="C21" s="5" t="s">
        <v>57</v>
      </c>
      <c r="D21" s="5" t="s">
        <v>58</v>
      </c>
      <c r="E21" s="5" t="s">
        <v>31</v>
      </c>
      <c r="F21" s="5" t="s">
        <v>32</v>
      </c>
      <c r="G21" s="578">
        <f t="shared" si="0"/>
        <v>0</v>
      </c>
      <c r="H21" s="579">
        <f>40500-35600-4900</f>
        <v>0</v>
      </c>
      <c r="I21" s="579">
        <v>0</v>
      </c>
      <c r="J21" s="580">
        <v>0</v>
      </c>
    </row>
    <row r="22" spans="1:10" ht="55.5" customHeight="1" x14ac:dyDescent="0.25">
      <c r="A22" s="8" t="s">
        <v>59</v>
      </c>
      <c r="B22" s="798" t="s">
        <v>60</v>
      </c>
      <c r="C22" s="5" t="s">
        <v>61</v>
      </c>
      <c r="D22" s="5" t="s">
        <v>62</v>
      </c>
      <c r="E22" s="5" t="s">
        <v>31</v>
      </c>
      <c r="F22" s="5" t="s">
        <v>32</v>
      </c>
      <c r="G22" s="578">
        <f t="shared" si="0"/>
        <v>381640.76</v>
      </c>
      <c r="H22" s="579">
        <f>300000-249000+249000+50000</f>
        <v>350000</v>
      </c>
      <c r="I22" s="696">
        <v>31640.76</v>
      </c>
      <c r="J22" s="580">
        <v>0</v>
      </c>
    </row>
    <row r="23" spans="1:10" ht="83.25" hidden="1" customHeight="1" x14ac:dyDescent="0.25">
      <c r="A23" s="8" t="s">
        <v>63</v>
      </c>
      <c r="B23" s="798" t="s">
        <v>64</v>
      </c>
      <c r="C23" s="5" t="s">
        <v>65</v>
      </c>
      <c r="D23" s="5" t="s">
        <v>66</v>
      </c>
      <c r="E23" s="5" t="s">
        <v>67</v>
      </c>
      <c r="F23" s="5" t="s">
        <v>68</v>
      </c>
      <c r="G23" s="578">
        <f t="shared" si="0"/>
        <v>0</v>
      </c>
      <c r="H23" s="579">
        <f>100000-100000</f>
        <v>0</v>
      </c>
      <c r="I23" s="579">
        <v>0</v>
      </c>
      <c r="J23" s="580">
        <v>0</v>
      </c>
    </row>
    <row r="24" spans="1:10" ht="51" hidden="1" customHeight="1" x14ac:dyDescent="0.25">
      <c r="A24" s="8" t="s">
        <v>63</v>
      </c>
      <c r="B24" s="798" t="s">
        <v>64</v>
      </c>
      <c r="C24" s="5" t="s">
        <v>65</v>
      </c>
      <c r="D24" s="5" t="s">
        <v>66</v>
      </c>
      <c r="E24" s="5" t="s">
        <v>21</v>
      </c>
      <c r="F24" s="5" t="s">
        <v>22</v>
      </c>
      <c r="G24" s="578">
        <f t="shared" si="0"/>
        <v>0</v>
      </c>
      <c r="H24" s="579">
        <f>70000-70000</f>
        <v>0</v>
      </c>
      <c r="I24" s="579">
        <v>0</v>
      </c>
      <c r="J24" s="580">
        <v>0</v>
      </c>
    </row>
    <row r="25" spans="1:10" ht="39.6" hidden="1" x14ac:dyDescent="0.25">
      <c r="A25" s="8" t="s">
        <v>63</v>
      </c>
      <c r="B25" s="798" t="s">
        <v>64</v>
      </c>
      <c r="C25" s="5" t="s">
        <v>65</v>
      </c>
      <c r="D25" s="5" t="s">
        <v>66</v>
      </c>
      <c r="E25" s="5" t="s">
        <v>31</v>
      </c>
      <c r="F25" s="5" t="s">
        <v>32</v>
      </c>
      <c r="G25" s="578">
        <f t="shared" si="0"/>
        <v>0</v>
      </c>
      <c r="H25" s="579">
        <f>544000-450000-94000</f>
        <v>0</v>
      </c>
      <c r="I25" s="579">
        <v>0</v>
      </c>
      <c r="J25" s="580">
        <v>0</v>
      </c>
    </row>
    <row r="26" spans="1:10" ht="39.6" x14ac:dyDescent="0.25">
      <c r="A26" s="8" t="s">
        <v>69</v>
      </c>
      <c r="B26" s="798" t="s">
        <v>70</v>
      </c>
      <c r="C26" s="5" t="s">
        <v>71</v>
      </c>
      <c r="D26" s="5" t="s">
        <v>72</v>
      </c>
      <c r="E26" s="5" t="s">
        <v>73</v>
      </c>
      <c r="F26" s="5" t="s">
        <v>74</v>
      </c>
      <c r="G26" s="578">
        <f t="shared" si="0"/>
        <v>400000</v>
      </c>
      <c r="H26" s="579">
        <v>400000</v>
      </c>
      <c r="I26" s="579">
        <v>0</v>
      </c>
      <c r="J26" s="580">
        <v>0</v>
      </c>
    </row>
    <row r="27" spans="1:10" ht="39.6" x14ac:dyDescent="0.25">
      <c r="A27" s="8" t="s">
        <v>75</v>
      </c>
      <c r="B27" s="798" t="s">
        <v>76</v>
      </c>
      <c r="C27" s="5" t="s">
        <v>71</v>
      </c>
      <c r="D27" s="5" t="s">
        <v>77</v>
      </c>
      <c r="E27" s="5" t="s">
        <v>73</v>
      </c>
      <c r="F27" s="5" t="s">
        <v>74</v>
      </c>
      <c r="G27" s="578">
        <f t="shared" si="0"/>
        <v>149500</v>
      </c>
      <c r="H27" s="579">
        <v>149500</v>
      </c>
      <c r="I27" s="579">
        <v>0</v>
      </c>
      <c r="J27" s="580">
        <v>0</v>
      </c>
    </row>
    <row r="28" spans="1:10" ht="39.6" x14ac:dyDescent="0.25">
      <c r="A28" s="8" t="s">
        <v>75</v>
      </c>
      <c r="B28" s="798" t="s">
        <v>76</v>
      </c>
      <c r="C28" s="5" t="s">
        <v>71</v>
      </c>
      <c r="D28" s="5" t="s">
        <v>77</v>
      </c>
      <c r="E28" s="5" t="s">
        <v>49</v>
      </c>
      <c r="F28" s="5" t="s">
        <v>50</v>
      </c>
      <c r="G28" s="578">
        <f t="shared" si="0"/>
        <v>0</v>
      </c>
      <c r="H28" s="579">
        <f>24500-24500</f>
        <v>0</v>
      </c>
      <c r="I28" s="579">
        <v>0</v>
      </c>
      <c r="J28" s="580">
        <v>0</v>
      </c>
    </row>
    <row r="29" spans="1:10" ht="52.8" x14ac:dyDescent="0.25">
      <c r="A29" s="8" t="s">
        <v>75</v>
      </c>
      <c r="B29" s="798" t="s">
        <v>76</v>
      </c>
      <c r="C29" s="5" t="s">
        <v>71</v>
      </c>
      <c r="D29" s="5" t="s">
        <v>77</v>
      </c>
      <c r="E29" s="5" t="s">
        <v>21</v>
      </c>
      <c r="F29" s="5" t="s">
        <v>22</v>
      </c>
      <c r="G29" s="578">
        <f t="shared" si="0"/>
        <v>244500</v>
      </c>
      <c r="H29" s="579">
        <v>244500</v>
      </c>
      <c r="I29" s="579">
        <v>0</v>
      </c>
      <c r="J29" s="580">
        <v>0</v>
      </c>
    </row>
    <row r="30" spans="1:10" ht="39.6" x14ac:dyDescent="0.25">
      <c r="A30" s="8" t="s">
        <v>78</v>
      </c>
      <c r="B30" s="798" t="s">
        <v>79</v>
      </c>
      <c r="C30" s="5" t="s">
        <v>80</v>
      </c>
      <c r="D30" s="5" t="s">
        <v>81</v>
      </c>
      <c r="E30" s="5" t="s">
        <v>82</v>
      </c>
      <c r="F30" s="5" t="s">
        <v>83</v>
      </c>
      <c r="G30" s="578">
        <f t="shared" si="0"/>
        <v>951250</v>
      </c>
      <c r="H30" s="579">
        <f>50000+140000+80000+110000+60000+130000+15000+100000+95000+87750+60000</f>
        <v>927750</v>
      </c>
      <c r="I30" s="579">
        <v>23500</v>
      </c>
      <c r="J30" s="580">
        <v>23500</v>
      </c>
    </row>
    <row r="31" spans="1:10" ht="54" customHeight="1" x14ac:dyDescent="0.25">
      <c r="A31" s="8" t="s">
        <v>84</v>
      </c>
      <c r="B31" s="798" t="s">
        <v>85</v>
      </c>
      <c r="C31" s="5" t="s">
        <v>80</v>
      </c>
      <c r="D31" s="5" t="s">
        <v>86</v>
      </c>
      <c r="E31" s="5" t="s">
        <v>21</v>
      </c>
      <c r="F31" s="5" t="s">
        <v>927</v>
      </c>
      <c r="G31" s="578">
        <f t="shared" si="0"/>
        <v>779000</v>
      </c>
      <c r="H31" s="579">
        <f>730000+49000</f>
        <v>779000</v>
      </c>
      <c r="I31" s="579">
        <v>0</v>
      </c>
      <c r="J31" s="580">
        <v>0</v>
      </c>
    </row>
    <row r="32" spans="1:10" ht="54" customHeight="1" x14ac:dyDescent="0.25">
      <c r="A32" s="491" t="s">
        <v>585</v>
      </c>
      <c r="B32" s="798">
        <v>6020</v>
      </c>
      <c r="C32" s="5" t="s">
        <v>80</v>
      </c>
      <c r="D32" s="5" t="s">
        <v>651</v>
      </c>
      <c r="E32" s="5" t="s">
        <v>672</v>
      </c>
      <c r="F32" s="5" t="s">
        <v>93</v>
      </c>
      <c r="G32" s="578">
        <f t="shared" si="0"/>
        <v>1165843</v>
      </c>
      <c r="H32" s="579">
        <f>86000+130000+55000+129470+100000+153700+161673+181000+169000</f>
        <v>1165843</v>
      </c>
      <c r="I32" s="579"/>
      <c r="J32" s="580"/>
    </row>
    <row r="33" spans="1:10" ht="54.75" customHeight="1" x14ac:dyDescent="0.25">
      <c r="A33" s="8" t="s">
        <v>87</v>
      </c>
      <c r="B33" s="798" t="s">
        <v>88</v>
      </c>
      <c r="C33" s="5" t="s">
        <v>80</v>
      </c>
      <c r="D33" s="5" t="s">
        <v>89</v>
      </c>
      <c r="E33" s="5" t="s">
        <v>90</v>
      </c>
      <c r="F33" s="5" t="s">
        <v>91</v>
      </c>
      <c r="G33" s="578">
        <f t="shared" si="0"/>
        <v>331455</v>
      </c>
      <c r="H33" s="579">
        <f>350000-3360-79000-4485</f>
        <v>263155</v>
      </c>
      <c r="I33" s="579">
        <f>79000-10700</f>
        <v>68300</v>
      </c>
      <c r="J33" s="580">
        <f>79000-10700</f>
        <v>68300</v>
      </c>
    </row>
    <row r="34" spans="1:10" ht="52.8" x14ac:dyDescent="0.25">
      <c r="A34" s="8" t="s">
        <v>87</v>
      </c>
      <c r="B34" s="798" t="s">
        <v>88</v>
      </c>
      <c r="C34" s="5" t="s">
        <v>80</v>
      </c>
      <c r="D34" s="5" t="s">
        <v>89</v>
      </c>
      <c r="E34" s="5" t="s">
        <v>92</v>
      </c>
      <c r="F34" s="5" t="s">
        <v>93</v>
      </c>
      <c r="G34" s="578">
        <f t="shared" si="0"/>
        <v>50000</v>
      </c>
      <c r="H34" s="579">
        <v>50000</v>
      </c>
      <c r="I34" s="579">
        <v>0</v>
      </c>
      <c r="J34" s="580">
        <v>0</v>
      </c>
    </row>
    <row r="35" spans="1:10" ht="52.8" x14ac:dyDescent="0.25">
      <c r="A35" s="8" t="s">
        <v>87</v>
      </c>
      <c r="B35" s="798" t="s">
        <v>88</v>
      </c>
      <c r="C35" s="5" t="s">
        <v>80</v>
      </c>
      <c r="D35" s="5" t="s">
        <v>89</v>
      </c>
      <c r="E35" s="5" t="s">
        <v>94</v>
      </c>
      <c r="F35" s="5" t="s">
        <v>95</v>
      </c>
      <c r="G35" s="578">
        <f t="shared" si="0"/>
        <v>15000</v>
      </c>
      <c r="H35" s="579">
        <v>15000</v>
      </c>
      <c r="I35" s="579">
        <v>0</v>
      </c>
      <c r="J35" s="580">
        <v>0</v>
      </c>
    </row>
    <row r="36" spans="1:10" ht="52.8" x14ac:dyDescent="0.25">
      <c r="A36" s="8" t="s">
        <v>87</v>
      </c>
      <c r="B36" s="798" t="s">
        <v>88</v>
      </c>
      <c r="C36" s="5" t="s">
        <v>80</v>
      </c>
      <c r="D36" s="5" t="s">
        <v>89</v>
      </c>
      <c r="E36" s="5" t="s">
        <v>21</v>
      </c>
      <c r="F36" s="5" t="s">
        <v>927</v>
      </c>
      <c r="G36" s="578">
        <f t="shared" si="0"/>
        <v>4081855</v>
      </c>
      <c r="H36" s="579">
        <f>3280000+110700+13200+15000+3100+139630+248265+146960</f>
        <v>3956855</v>
      </c>
      <c r="I36" s="579">
        <f>130000-5000</f>
        <v>125000</v>
      </c>
      <c r="J36" s="580">
        <f>130000-5000</f>
        <v>125000</v>
      </c>
    </row>
    <row r="37" spans="1:10" ht="81.75" customHeight="1" x14ac:dyDescent="0.25">
      <c r="A37" s="8" t="s">
        <v>96</v>
      </c>
      <c r="B37" s="798" t="s">
        <v>97</v>
      </c>
      <c r="C37" s="5" t="s">
        <v>98</v>
      </c>
      <c r="D37" s="5" t="s">
        <v>99</v>
      </c>
      <c r="E37" s="5" t="s">
        <v>67</v>
      </c>
      <c r="F37" s="5" t="s">
        <v>68</v>
      </c>
      <c r="G37" s="578">
        <f t="shared" si="0"/>
        <v>20000</v>
      </c>
      <c r="H37" s="579">
        <v>20000</v>
      </c>
      <c r="I37" s="579">
        <v>0</v>
      </c>
      <c r="J37" s="580">
        <v>0</v>
      </c>
    </row>
    <row r="38" spans="1:10" ht="54.75" customHeight="1" x14ac:dyDescent="0.25">
      <c r="A38" s="8" t="s">
        <v>96</v>
      </c>
      <c r="B38" s="798" t="s">
        <v>97</v>
      </c>
      <c r="C38" s="5" t="s">
        <v>98</v>
      </c>
      <c r="D38" s="5" t="s">
        <v>99</v>
      </c>
      <c r="E38" s="5" t="s">
        <v>21</v>
      </c>
      <c r="F38" s="5" t="s">
        <v>22</v>
      </c>
      <c r="G38" s="578">
        <f t="shared" si="0"/>
        <v>580200</v>
      </c>
      <c r="H38" s="579">
        <f>690000-109800</f>
        <v>580200</v>
      </c>
      <c r="I38" s="579">
        <v>0</v>
      </c>
      <c r="J38" s="580">
        <v>0</v>
      </c>
    </row>
    <row r="39" spans="1:10" ht="52.8" x14ac:dyDescent="0.25">
      <c r="A39" s="8" t="s">
        <v>100</v>
      </c>
      <c r="B39" s="798" t="s">
        <v>101</v>
      </c>
      <c r="C39" s="5" t="s">
        <v>102</v>
      </c>
      <c r="D39" s="5" t="s">
        <v>103</v>
      </c>
      <c r="E39" s="5" t="s">
        <v>21</v>
      </c>
      <c r="F39" s="5" t="s">
        <v>22</v>
      </c>
      <c r="G39" s="578">
        <f t="shared" si="0"/>
        <v>136780</v>
      </c>
      <c r="H39" s="579">
        <v>100000</v>
      </c>
      <c r="I39" s="579">
        <v>36780</v>
      </c>
      <c r="J39" s="580">
        <v>0</v>
      </c>
    </row>
    <row r="40" spans="1:10" ht="52.8" x14ac:dyDescent="0.25">
      <c r="A40" s="8" t="s">
        <v>420</v>
      </c>
      <c r="B40" s="798">
        <v>7330</v>
      </c>
      <c r="C40" s="5" t="s">
        <v>172</v>
      </c>
      <c r="D40" s="5" t="s">
        <v>422</v>
      </c>
      <c r="E40" s="5" t="s">
        <v>21</v>
      </c>
      <c r="F40" s="5" t="s">
        <v>22</v>
      </c>
      <c r="G40" s="578">
        <f t="shared" si="0"/>
        <v>1686751</v>
      </c>
      <c r="H40" s="579"/>
      <c r="I40" s="579">
        <f>94500+1277991+214260+100000</f>
        <v>1686751</v>
      </c>
      <c r="J40" s="580">
        <f>94500+1277991+214260+100000</f>
        <v>1686751</v>
      </c>
    </row>
    <row r="41" spans="1:10" ht="56.25" customHeight="1" x14ac:dyDescent="0.25">
      <c r="A41" s="8" t="s">
        <v>423</v>
      </c>
      <c r="B41" s="798" t="s">
        <v>424</v>
      </c>
      <c r="C41" s="5" t="s">
        <v>172</v>
      </c>
      <c r="D41" s="5" t="s">
        <v>425</v>
      </c>
      <c r="E41" s="5" t="s">
        <v>21</v>
      </c>
      <c r="F41" s="5" t="s">
        <v>22</v>
      </c>
      <c r="G41" s="578">
        <f t="shared" si="0"/>
        <v>190000</v>
      </c>
      <c r="H41" s="579"/>
      <c r="I41" s="579">
        <v>190000</v>
      </c>
      <c r="J41" s="580">
        <v>190000</v>
      </c>
    </row>
    <row r="42" spans="1:10" ht="56.25" customHeight="1" x14ac:dyDescent="0.25">
      <c r="A42" s="8" t="s">
        <v>550</v>
      </c>
      <c r="B42" s="798" t="s">
        <v>551</v>
      </c>
      <c r="C42" s="5" t="s">
        <v>116</v>
      </c>
      <c r="D42" s="5" t="s">
        <v>561</v>
      </c>
      <c r="E42" s="5" t="s">
        <v>21</v>
      </c>
      <c r="F42" s="5" t="s">
        <v>22</v>
      </c>
      <c r="G42" s="578">
        <f t="shared" si="0"/>
        <v>1048631</v>
      </c>
      <c r="H42" s="579"/>
      <c r="I42" s="579">
        <f>2000000-539696-236673-175000</f>
        <v>1048631</v>
      </c>
      <c r="J42" s="580">
        <f>2000000-539696-236673-175000</f>
        <v>1048631</v>
      </c>
    </row>
    <row r="43" spans="1:10" ht="54" customHeight="1" x14ac:dyDescent="0.25">
      <c r="A43" s="8" t="s">
        <v>104</v>
      </c>
      <c r="B43" s="798" t="s">
        <v>105</v>
      </c>
      <c r="C43" s="5" t="s">
        <v>106</v>
      </c>
      <c r="D43" s="5" t="s">
        <v>107</v>
      </c>
      <c r="E43" s="5" t="s">
        <v>21</v>
      </c>
      <c r="F43" s="5" t="s">
        <v>927</v>
      </c>
      <c r="G43" s="578">
        <f t="shared" si="0"/>
        <v>2496097</v>
      </c>
      <c r="H43" s="579">
        <f>2545003-873200-9000+840000-1121825-791540-55000-141415-322015+2250089</f>
        <v>2321097</v>
      </c>
      <c r="I43" s="579">
        <v>175000</v>
      </c>
      <c r="J43" s="580">
        <v>175000</v>
      </c>
    </row>
    <row r="44" spans="1:10" ht="54" customHeight="1" x14ac:dyDescent="0.25">
      <c r="A44" s="8" t="s">
        <v>831</v>
      </c>
      <c r="B44" s="798" t="s">
        <v>832</v>
      </c>
      <c r="C44" s="5" t="s">
        <v>833</v>
      </c>
      <c r="D44" s="5" t="s">
        <v>834</v>
      </c>
      <c r="E44" s="5" t="s">
        <v>21</v>
      </c>
      <c r="F44" s="5" t="s">
        <v>927</v>
      </c>
      <c r="G44" s="578">
        <f t="shared" si="0"/>
        <v>1254375</v>
      </c>
      <c r="H44" s="579">
        <v>1254375</v>
      </c>
      <c r="I44" s="579"/>
      <c r="J44" s="580"/>
    </row>
    <row r="45" spans="1:10" ht="33.6" customHeight="1" x14ac:dyDescent="0.25">
      <c r="A45" s="8"/>
      <c r="B45" s="798"/>
      <c r="C45" s="5"/>
      <c r="D45" s="5" t="s">
        <v>851</v>
      </c>
      <c r="E45" s="5"/>
      <c r="F45" s="5"/>
      <c r="G45" s="578">
        <f>H45+I45</f>
        <v>1254375</v>
      </c>
      <c r="H45" s="579">
        <v>1254375</v>
      </c>
      <c r="I45" s="579"/>
      <c r="J45" s="580"/>
    </row>
    <row r="46" spans="1:10" ht="52.8" x14ac:dyDescent="0.25">
      <c r="A46" s="8" t="s">
        <v>108</v>
      </c>
      <c r="B46" s="798" t="s">
        <v>109</v>
      </c>
      <c r="C46" s="5" t="s">
        <v>110</v>
      </c>
      <c r="D46" s="5" t="s">
        <v>111</v>
      </c>
      <c r="E46" s="5" t="s">
        <v>112</v>
      </c>
      <c r="F46" s="5" t="s">
        <v>113</v>
      </c>
      <c r="G46" s="578">
        <f t="shared" si="0"/>
        <v>2000</v>
      </c>
      <c r="H46" s="579">
        <v>2000</v>
      </c>
      <c r="I46" s="579">
        <v>0</v>
      </c>
      <c r="J46" s="580">
        <v>0</v>
      </c>
    </row>
    <row r="47" spans="1:10" ht="52.8" x14ac:dyDescent="0.25">
      <c r="A47" s="8" t="s">
        <v>114</v>
      </c>
      <c r="B47" s="798" t="s">
        <v>115</v>
      </c>
      <c r="C47" s="5" t="s">
        <v>116</v>
      </c>
      <c r="D47" s="5" t="s">
        <v>117</v>
      </c>
      <c r="E47" s="5" t="s">
        <v>21</v>
      </c>
      <c r="F47" s="5" t="s">
        <v>927</v>
      </c>
      <c r="G47" s="578">
        <f t="shared" si="0"/>
        <v>50000</v>
      </c>
      <c r="H47" s="579">
        <v>0</v>
      </c>
      <c r="I47" s="579">
        <v>50000</v>
      </c>
      <c r="J47" s="580">
        <v>50000</v>
      </c>
    </row>
    <row r="48" spans="1:10" ht="52.8" x14ac:dyDescent="0.25">
      <c r="A48" s="8" t="s">
        <v>118</v>
      </c>
      <c r="B48" s="798" t="s">
        <v>119</v>
      </c>
      <c r="C48" s="5" t="s">
        <v>116</v>
      </c>
      <c r="D48" s="5" t="s">
        <v>120</v>
      </c>
      <c r="E48" s="5" t="s">
        <v>21</v>
      </c>
      <c r="F48" s="5" t="s">
        <v>927</v>
      </c>
      <c r="G48" s="578">
        <f t="shared" si="0"/>
        <v>50000</v>
      </c>
      <c r="H48" s="579">
        <v>0</v>
      </c>
      <c r="I48" s="579">
        <v>50000</v>
      </c>
      <c r="J48" s="580">
        <v>50000</v>
      </c>
    </row>
    <row r="49" spans="1:10" ht="52.8" x14ac:dyDescent="0.25">
      <c r="A49" s="8" t="s">
        <v>121</v>
      </c>
      <c r="B49" s="798" t="s">
        <v>122</v>
      </c>
      <c r="C49" s="5" t="s">
        <v>116</v>
      </c>
      <c r="D49" s="5" t="s">
        <v>123</v>
      </c>
      <c r="E49" s="5" t="s">
        <v>21</v>
      </c>
      <c r="F49" s="5" t="s">
        <v>927</v>
      </c>
      <c r="G49" s="578">
        <f t="shared" si="0"/>
        <v>52000</v>
      </c>
      <c r="H49" s="579">
        <v>52000</v>
      </c>
      <c r="I49" s="579">
        <v>0</v>
      </c>
      <c r="J49" s="580">
        <v>0</v>
      </c>
    </row>
    <row r="50" spans="1:10" ht="52.8" x14ac:dyDescent="0.25">
      <c r="A50" s="8" t="s">
        <v>790</v>
      </c>
      <c r="B50" s="798" t="s">
        <v>796</v>
      </c>
      <c r="C50" s="5" t="s">
        <v>116</v>
      </c>
      <c r="D50" s="5" t="s">
        <v>797</v>
      </c>
      <c r="E50" s="5" t="s">
        <v>21</v>
      </c>
      <c r="F50" s="5" t="s">
        <v>927</v>
      </c>
      <c r="G50" s="578">
        <f t="shared" si="0"/>
        <v>355000</v>
      </c>
      <c r="H50" s="579">
        <f>49000+25000+153000</f>
        <v>227000</v>
      </c>
      <c r="I50" s="579">
        <v>128000</v>
      </c>
      <c r="J50" s="579">
        <v>128000</v>
      </c>
    </row>
    <row r="51" spans="1:10" ht="52.8" x14ac:dyDescent="0.25">
      <c r="A51" s="8" t="s">
        <v>124</v>
      </c>
      <c r="B51" s="798" t="s">
        <v>125</v>
      </c>
      <c r="C51" s="5" t="s">
        <v>126</v>
      </c>
      <c r="D51" s="5" t="s">
        <v>127</v>
      </c>
      <c r="E51" s="5" t="s">
        <v>712</v>
      </c>
      <c r="F51" s="5" t="s">
        <v>95</v>
      </c>
      <c r="G51" s="578">
        <f t="shared" si="0"/>
        <v>125691</v>
      </c>
      <c r="H51" s="579">
        <f>150000+20000+691-45000</f>
        <v>125691</v>
      </c>
      <c r="I51" s="579">
        <v>0</v>
      </c>
      <c r="J51" s="580">
        <v>0</v>
      </c>
    </row>
    <row r="52" spans="1:10" ht="79.2" x14ac:dyDescent="0.25">
      <c r="A52" s="8" t="s">
        <v>128</v>
      </c>
      <c r="B52" s="798" t="s">
        <v>129</v>
      </c>
      <c r="C52" s="5" t="s">
        <v>126</v>
      </c>
      <c r="D52" s="5" t="s">
        <v>130</v>
      </c>
      <c r="E52" s="5" t="s">
        <v>131</v>
      </c>
      <c r="F52" s="5" t="s">
        <v>132</v>
      </c>
      <c r="G52" s="578">
        <f t="shared" si="0"/>
        <v>9000</v>
      </c>
      <c r="H52" s="579">
        <v>9000</v>
      </c>
      <c r="I52" s="579">
        <v>0</v>
      </c>
      <c r="J52" s="580">
        <v>0</v>
      </c>
    </row>
    <row r="53" spans="1:10" ht="52.8" x14ac:dyDescent="0.25">
      <c r="A53" s="8" t="s">
        <v>133</v>
      </c>
      <c r="B53" s="798" t="s">
        <v>134</v>
      </c>
      <c r="C53" s="5" t="s">
        <v>135</v>
      </c>
      <c r="D53" s="5" t="s">
        <v>136</v>
      </c>
      <c r="E53" s="5" t="s">
        <v>21</v>
      </c>
      <c r="F53" s="5" t="s">
        <v>22</v>
      </c>
      <c r="G53" s="578">
        <f t="shared" si="0"/>
        <v>130763.42</v>
      </c>
      <c r="H53" s="579">
        <v>0</v>
      </c>
      <c r="I53" s="579">
        <f>79300+51463.42</f>
        <v>130763.42</v>
      </c>
      <c r="J53" s="580">
        <v>0</v>
      </c>
    </row>
    <row r="54" spans="1:10" ht="52.8" x14ac:dyDescent="0.25">
      <c r="A54" s="8" t="s">
        <v>137</v>
      </c>
      <c r="B54" s="798" t="s">
        <v>138</v>
      </c>
      <c r="C54" s="5" t="s">
        <v>139</v>
      </c>
      <c r="D54" s="5" t="s">
        <v>140</v>
      </c>
      <c r="E54" s="5" t="s">
        <v>21</v>
      </c>
      <c r="F54" s="5" t="s">
        <v>22</v>
      </c>
      <c r="G54" s="578">
        <f t="shared" si="0"/>
        <v>150000</v>
      </c>
      <c r="H54" s="579">
        <v>150000</v>
      </c>
      <c r="I54" s="579">
        <v>0</v>
      </c>
      <c r="J54" s="580">
        <v>0</v>
      </c>
    </row>
    <row r="55" spans="1:10" x14ac:dyDescent="0.25">
      <c r="A55" s="8"/>
      <c r="B55" s="798"/>
      <c r="C55" s="5"/>
      <c r="D55" s="5"/>
      <c r="E55" s="5"/>
      <c r="F55" s="5"/>
      <c r="G55" s="578"/>
      <c r="H55" s="579"/>
      <c r="I55" s="579"/>
      <c r="J55" s="580"/>
    </row>
    <row r="56" spans="1:10" ht="34.950000000000003" customHeight="1" x14ac:dyDescent="0.25">
      <c r="A56" s="7" t="s">
        <v>141</v>
      </c>
      <c r="B56" s="4" t="s">
        <v>16</v>
      </c>
      <c r="C56" s="4" t="s">
        <v>16</v>
      </c>
      <c r="D56" s="4" t="s">
        <v>142</v>
      </c>
      <c r="E56" s="4" t="s">
        <v>16</v>
      </c>
      <c r="F56" s="4" t="s">
        <v>16</v>
      </c>
      <c r="G56" s="577">
        <f>SUM(G57:G72)</f>
        <v>5282873.3600000003</v>
      </c>
      <c r="H56" s="577">
        <f t="shared" ref="H56:J56" si="1">SUM(H57:H72)</f>
        <v>2576590.3600000003</v>
      </c>
      <c r="I56" s="577">
        <f t="shared" si="1"/>
        <v>2706283</v>
      </c>
      <c r="J56" s="577">
        <f t="shared" si="1"/>
        <v>879081</v>
      </c>
    </row>
    <row r="57" spans="1:10" ht="42.75" customHeight="1" x14ac:dyDescent="0.25">
      <c r="A57" s="8" t="s">
        <v>143</v>
      </c>
      <c r="B57" s="798" t="s">
        <v>53</v>
      </c>
      <c r="C57" s="5" t="s">
        <v>144</v>
      </c>
      <c r="D57" s="5" t="s">
        <v>145</v>
      </c>
      <c r="E57" s="5" t="s">
        <v>49</v>
      </c>
      <c r="F57" s="5" t="s">
        <v>50</v>
      </c>
      <c r="G57" s="578">
        <f t="shared" si="0"/>
        <v>750000</v>
      </c>
      <c r="H57" s="579">
        <v>500000</v>
      </c>
      <c r="I57" s="579">
        <v>250000</v>
      </c>
      <c r="J57" s="580">
        <v>0</v>
      </c>
    </row>
    <row r="58" spans="1:10" ht="57.75" customHeight="1" x14ac:dyDescent="0.25">
      <c r="A58" s="8" t="s">
        <v>143</v>
      </c>
      <c r="B58" s="798" t="s">
        <v>53</v>
      </c>
      <c r="C58" s="5" t="s">
        <v>144</v>
      </c>
      <c r="D58" s="5" t="s">
        <v>145</v>
      </c>
      <c r="E58" s="5" t="s">
        <v>21</v>
      </c>
      <c r="F58" s="5" t="s">
        <v>927</v>
      </c>
      <c r="G58" s="578">
        <f t="shared" si="0"/>
        <v>1538334</v>
      </c>
      <c r="H58" s="579">
        <f>155000+3600+10212</f>
        <v>168812</v>
      </c>
      <c r="I58" s="579">
        <v>1369522</v>
      </c>
      <c r="J58" s="580" t="s">
        <v>496</v>
      </c>
    </row>
    <row r="59" spans="1:10" ht="41.25" customHeight="1" x14ac:dyDescent="0.25">
      <c r="A59" s="8" t="s">
        <v>146</v>
      </c>
      <c r="B59" s="798" t="s">
        <v>147</v>
      </c>
      <c r="C59" s="5" t="s">
        <v>148</v>
      </c>
      <c r="D59" s="5" t="s">
        <v>149</v>
      </c>
      <c r="E59" s="5" t="s">
        <v>49</v>
      </c>
      <c r="F59" s="5" t="s">
        <v>50</v>
      </c>
      <c r="G59" s="578">
        <f t="shared" si="0"/>
        <v>0</v>
      </c>
      <c r="H59" s="579">
        <f>300000-300000</f>
        <v>0</v>
      </c>
      <c r="I59" s="579">
        <v>0</v>
      </c>
      <c r="J59" s="580">
        <v>0</v>
      </c>
    </row>
    <row r="60" spans="1:10" ht="52.8" x14ac:dyDescent="0.25">
      <c r="A60" s="8" t="s">
        <v>146</v>
      </c>
      <c r="B60" s="798" t="s">
        <v>147</v>
      </c>
      <c r="C60" s="5" t="s">
        <v>148</v>
      </c>
      <c r="D60" s="5" t="s">
        <v>149</v>
      </c>
      <c r="E60" s="5" t="s">
        <v>21</v>
      </c>
      <c r="F60" s="5" t="s">
        <v>927</v>
      </c>
      <c r="G60" s="578">
        <f t="shared" si="0"/>
        <v>811614.14</v>
      </c>
      <c r="H60" s="579">
        <f>195000+20000+82342+267752.14</f>
        <v>565094.14</v>
      </c>
      <c r="I60" s="579">
        <f>197600+175000+11500-137580</f>
        <v>246520</v>
      </c>
      <c r="J60" s="580">
        <f>175000+11500-137580</f>
        <v>48920</v>
      </c>
    </row>
    <row r="61" spans="1:10" ht="39.6" x14ac:dyDescent="0.25">
      <c r="A61" s="8" t="s">
        <v>150</v>
      </c>
      <c r="B61" s="798" t="s">
        <v>29</v>
      </c>
      <c r="C61" s="5" t="s">
        <v>151</v>
      </c>
      <c r="D61" s="5" t="s">
        <v>152</v>
      </c>
      <c r="E61" s="5" t="s">
        <v>49</v>
      </c>
      <c r="F61" s="5" t="s">
        <v>50</v>
      </c>
      <c r="G61" s="578">
        <f t="shared" si="0"/>
        <v>0</v>
      </c>
      <c r="H61" s="579">
        <f>40000+3600-43600</f>
        <v>0</v>
      </c>
      <c r="I61" s="579">
        <v>0</v>
      </c>
      <c r="J61" s="580">
        <v>0</v>
      </c>
    </row>
    <row r="62" spans="1:10" ht="52.8" x14ac:dyDescent="0.25">
      <c r="A62" s="8" t="s">
        <v>150</v>
      </c>
      <c r="B62" s="798" t="s">
        <v>29</v>
      </c>
      <c r="C62" s="5" t="s">
        <v>151</v>
      </c>
      <c r="D62" s="5" t="s">
        <v>152</v>
      </c>
      <c r="E62" s="5" t="s">
        <v>21</v>
      </c>
      <c r="F62" s="5" t="s">
        <v>927</v>
      </c>
      <c r="G62" s="578">
        <f t="shared" si="0"/>
        <v>11540</v>
      </c>
      <c r="H62" s="579">
        <v>1460</v>
      </c>
      <c r="I62" s="579">
        <v>10080</v>
      </c>
      <c r="J62" s="580">
        <v>0</v>
      </c>
    </row>
    <row r="63" spans="1:10" ht="54" customHeight="1" x14ac:dyDescent="0.25">
      <c r="A63" s="8" t="s">
        <v>153</v>
      </c>
      <c r="B63" s="798" t="s">
        <v>154</v>
      </c>
      <c r="C63" s="5" t="s">
        <v>155</v>
      </c>
      <c r="D63" s="5" t="s">
        <v>156</v>
      </c>
      <c r="E63" s="5" t="s">
        <v>21</v>
      </c>
      <c r="F63" s="5" t="s">
        <v>22</v>
      </c>
      <c r="G63" s="578">
        <f t="shared" si="0"/>
        <v>27482</v>
      </c>
      <c r="H63" s="579">
        <v>27482</v>
      </c>
      <c r="I63" s="579"/>
      <c r="J63" s="580"/>
    </row>
    <row r="64" spans="1:10" ht="42" customHeight="1" x14ac:dyDescent="0.25">
      <c r="A64" s="8" t="s">
        <v>157</v>
      </c>
      <c r="B64" s="798" t="s">
        <v>158</v>
      </c>
      <c r="C64" s="5" t="s">
        <v>155</v>
      </c>
      <c r="D64" s="5" t="s">
        <v>159</v>
      </c>
      <c r="E64" s="5" t="s">
        <v>44</v>
      </c>
      <c r="F64" s="5" t="s">
        <v>45</v>
      </c>
      <c r="G64" s="578">
        <f t="shared" si="0"/>
        <v>156988</v>
      </c>
      <c r="H64" s="579">
        <f>155178+1810</f>
        <v>156988</v>
      </c>
      <c r="I64" s="579">
        <v>0</v>
      </c>
      <c r="J64" s="580">
        <v>0</v>
      </c>
    </row>
    <row r="65" spans="1:22" ht="55.5" customHeight="1" x14ac:dyDescent="0.25">
      <c r="A65" s="8" t="s">
        <v>157</v>
      </c>
      <c r="B65" s="798" t="s">
        <v>158</v>
      </c>
      <c r="C65" s="5" t="s">
        <v>155</v>
      </c>
      <c r="D65" s="5" t="s">
        <v>159</v>
      </c>
      <c r="E65" s="5" t="s">
        <v>21</v>
      </c>
      <c r="F65" s="5" t="s">
        <v>927</v>
      </c>
      <c r="G65" s="578">
        <f t="shared" si="0"/>
        <v>300000</v>
      </c>
      <c r="H65" s="579">
        <v>300000</v>
      </c>
      <c r="I65" s="579">
        <v>0</v>
      </c>
      <c r="J65" s="580">
        <v>0</v>
      </c>
    </row>
    <row r="66" spans="1:22" ht="79.2" x14ac:dyDescent="0.25">
      <c r="A66" s="8" t="s">
        <v>930</v>
      </c>
      <c r="B66" s="815" t="s">
        <v>1022</v>
      </c>
      <c r="C66" s="5" t="s">
        <v>155</v>
      </c>
      <c r="D66" s="5" t="s">
        <v>1023</v>
      </c>
      <c r="E66" s="5" t="s">
        <v>21</v>
      </c>
      <c r="F66" s="5" t="s">
        <v>927</v>
      </c>
      <c r="G66" s="578">
        <f t="shared" si="0"/>
        <v>44500</v>
      </c>
      <c r="H66" s="579"/>
      <c r="I66" s="579">
        <v>44500</v>
      </c>
      <c r="J66" s="579">
        <v>44500</v>
      </c>
    </row>
    <row r="67" spans="1:22" ht="55.5" customHeight="1" x14ac:dyDescent="0.25">
      <c r="A67" s="8" t="s">
        <v>877</v>
      </c>
      <c r="B67" s="804" t="s">
        <v>890</v>
      </c>
      <c r="C67" s="5" t="s">
        <v>155</v>
      </c>
      <c r="D67" s="5" t="s">
        <v>892</v>
      </c>
      <c r="E67" s="5" t="s">
        <v>21</v>
      </c>
      <c r="F67" s="5" t="s">
        <v>927</v>
      </c>
      <c r="G67" s="578">
        <f t="shared" si="0"/>
        <v>99500</v>
      </c>
      <c r="H67" s="579">
        <v>0</v>
      </c>
      <c r="I67" s="579">
        <v>99500</v>
      </c>
      <c r="J67" s="579">
        <v>99500</v>
      </c>
    </row>
    <row r="68" spans="1:22" ht="66" x14ac:dyDescent="0.25">
      <c r="A68" s="8" t="s">
        <v>842</v>
      </c>
      <c r="B68" s="804" t="s">
        <v>848</v>
      </c>
      <c r="C68" s="5" t="s">
        <v>155</v>
      </c>
      <c r="D68" s="5" t="s">
        <v>849</v>
      </c>
      <c r="E68" s="5" t="s">
        <v>21</v>
      </c>
      <c r="F68" s="5" t="s">
        <v>927</v>
      </c>
      <c r="G68" s="578">
        <f t="shared" si="0"/>
        <v>212753</v>
      </c>
      <c r="H68" s="579">
        <v>212753</v>
      </c>
      <c r="I68" s="579">
        <v>0</v>
      </c>
      <c r="J68" s="580">
        <v>0</v>
      </c>
    </row>
    <row r="69" spans="1:22" ht="55.5" customHeight="1" x14ac:dyDescent="0.25">
      <c r="A69" s="8" t="s">
        <v>455</v>
      </c>
      <c r="B69" s="798" t="s">
        <v>456</v>
      </c>
      <c r="C69" s="5" t="s">
        <v>155</v>
      </c>
      <c r="D69" s="5" t="s">
        <v>457</v>
      </c>
      <c r="E69" s="5" t="s">
        <v>21</v>
      </c>
      <c r="F69" s="5" t="s">
        <v>22</v>
      </c>
      <c r="G69" s="578">
        <f>H69+I69</f>
        <v>619585</v>
      </c>
      <c r="H69" s="792">
        <v>567585</v>
      </c>
      <c r="I69" s="579">
        <v>52000</v>
      </c>
      <c r="J69" s="579">
        <v>52000</v>
      </c>
    </row>
    <row r="70" spans="1:22" ht="55.5" customHeight="1" x14ac:dyDescent="0.25">
      <c r="A70" s="8" t="s">
        <v>853</v>
      </c>
      <c r="B70" s="798" t="s">
        <v>854</v>
      </c>
      <c r="C70" s="5" t="s">
        <v>155</v>
      </c>
      <c r="D70" s="5" t="s">
        <v>852</v>
      </c>
      <c r="E70" s="5" t="s">
        <v>21</v>
      </c>
      <c r="F70" s="5" t="s">
        <v>22</v>
      </c>
      <c r="G70" s="793">
        <f>H70+I70</f>
        <v>76416.22</v>
      </c>
      <c r="H70" s="792">
        <v>76416.22</v>
      </c>
      <c r="I70" s="579"/>
      <c r="J70" s="580"/>
    </row>
    <row r="71" spans="1:22" ht="66.75" hidden="1" customHeight="1" x14ac:dyDescent="0.25">
      <c r="A71" s="8" t="s">
        <v>160</v>
      </c>
      <c r="B71" s="798" t="s">
        <v>47</v>
      </c>
      <c r="C71" s="5" t="s">
        <v>39</v>
      </c>
      <c r="D71" s="5" t="s">
        <v>48</v>
      </c>
      <c r="E71" s="5" t="s">
        <v>49</v>
      </c>
      <c r="F71" s="5" t="s">
        <v>50</v>
      </c>
      <c r="G71" s="578">
        <f t="shared" si="0"/>
        <v>0</v>
      </c>
      <c r="H71" s="579">
        <f>195000-195000</f>
        <v>0</v>
      </c>
      <c r="I71" s="579">
        <v>0</v>
      </c>
      <c r="J71" s="580">
        <v>0</v>
      </c>
    </row>
    <row r="72" spans="1:22" ht="52.8" x14ac:dyDescent="0.25">
      <c r="A72" s="8" t="s">
        <v>556</v>
      </c>
      <c r="B72" s="798" t="s">
        <v>557</v>
      </c>
      <c r="C72" s="5" t="s">
        <v>172</v>
      </c>
      <c r="D72" s="5" t="s">
        <v>558</v>
      </c>
      <c r="E72" s="5" t="s">
        <v>21</v>
      </c>
      <c r="F72" s="5" t="s">
        <v>22</v>
      </c>
      <c r="G72" s="578">
        <f t="shared" si="0"/>
        <v>634161</v>
      </c>
      <c r="H72" s="579">
        <f>195000-195000</f>
        <v>0</v>
      </c>
      <c r="I72" s="579">
        <f>49500+584661</f>
        <v>634161</v>
      </c>
      <c r="J72" s="579">
        <f>49500+584661</f>
        <v>634161</v>
      </c>
    </row>
    <row r="73" spans="1:22" ht="34.200000000000003" customHeight="1" x14ac:dyDescent="0.25">
      <c r="A73" s="7" t="s">
        <v>653</v>
      </c>
      <c r="B73" s="615"/>
      <c r="C73" s="4"/>
      <c r="D73" s="4" t="s">
        <v>654</v>
      </c>
      <c r="E73" s="5"/>
      <c r="F73" s="783"/>
      <c r="G73" s="811">
        <f t="shared" ref="G73:H73" si="2">SUM(G75:G90)-G76-G80</f>
        <v>12390921.149999999</v>
      </c>
      <c r="H73" s="811">
        <f t="shared" si="2"/>
        <v>9949917.1500000004</v>
      </c>
      <c r="I73" s="811">
        <f>SUM(I75:I90)-I76-I80</f>
        <v>2441004</v>
      </c>
      <c r="J73" s="811">
        <f t="shared" ref="J73" si="3">SUM(J75:J90)-J76-J80</f>
        <v>2381004</v>
      </c>
    </row>
    <row r="74" spans="1:22" ht="25.5" hidden="1" customHeight="1" x14ac:dyDescent="0.25">
      <c r="A74" s="8"/>
      <c r="B74" s="798"/>
      <c r="C74" s="5"/>
      <c r="D74" s="5" t="s">
        <v>399</v>
      </c>
      <c r="E74" s="5"/>
      <c r="F74" s="5"/>
      <c r="G74" s="578">
        <f t="shared" si="0"/>
        <v>0</v>
      </c>
      <c r="H74" s="579"/>
      <c r="I74" s="579"/>
      <c r="J74" s="580"/>
    </row>
    <row r="75" spans="1:22" ht="106.5" customHeight="1" x14ac:dyDescent="0.25">
      <c r="A75" s="8" t="s">
        <v>620</v>
      </c>
      <c r="B75" s="798" t="s">
        <v>391</v>
      </c>
      <c r="C75" s="5" t="s">
        <v>392</v>
      </c>
      <c r="D75" s="5" t="s">
        <v>393</v>
      </c>
      <c r="E75" s="5" t="s">
        <v>658</v>
      </c>
      <c r="F75" s="5" t="s">
        <v>928</v>
      </c>
      <c r="G75" s="578">
        <f t="shared" si="0"/>
        <v>7470673.1500000004</v>
      </c>
      <c r="H75" s="579">
        <f>3645000+240000+245669.15+9000+350000+1000000-400000</f>
        <v>5089669.1500000004</v>
      </c>
      <c r="I75" s="579">
        <f>1259179+1121825</f>
        <v>2381004</v>
      </c>
      <c r="J75" s="580">
        <f>1259179+1121825</f>
        <v>2381004</v>
      </c>
      <c r="K75" s="492">
        <f>H75-H76</f>
        <v>3249669.1500000004</v>
      </c>
    </row>
    <row r="76" spans="1:22" ht="30.75" customHeight="1" x14ac:dyDescent="0.25">
      <c r="A76" s="8"/>
      <c r="B76" s="798"/>
      <c r="C76" s="5"/>
      <c r="D76" s="5" t="s">
        <v>399</v>
      </c>
      <c r="E76" s="3"/>
      <c r="F76" s="783"/>
      <c r="G76" s="578">
        <f t="shared" si="0"/>
        <v>3099179</v>
      </c>
      <c r="H76" s="579">
        <f>1000000+240000+1000000-400000</f>
        <v>1840000</v>
      </c>
      <c r="I76" s="579">
        <v>1259179</v>
      </c>
      <c r="J76" s="580">
        <v>1259179</v>
      </c>
      <c r="K76" s="1">
        <v>4139669.15</v>
      </c>
      <c r="V76" s="492">
        <f>G75-G76</f>
        <v>4371494.1500000004</v>
      </c>
    </row>
    <row r="77" spans="1:22" ht="39.6" x14ac:dyDescent="0.25">
      <c r="A77" s="8" t="s">
        <v>620</v>
      </c>
      <c r="B77" s="815" t="s">
        <v>391</v>
      </c>
      <c r="C77" s="5" t="s">
        <v>392</v>
      </c>
      <c r="D77" s="5" t="s">
        <v>393</v>
      </c>
      <c r="E77" s="977" t="s">
        <v>1051</v>
      </c>
      <c r="F77" s="5" t="s">
        <v>1052</v>
      </c>
      <c r="G77" s="578">
        <f t="shared" si="0"/>
        <v>24636</v>
      </c>
      <c r="H77" s="579">
        <v>24636</v>
      </c>
      <c r="I77" s="579"/>
      <c r="J77" s="580"/>
      <c r="V77" s="492"/>
    </row>
    <row r="78" spans="1:22" ht="26.4" x14ac:dyDescent="0.25">
      <c r="A78" s="8"/>
      <c r="B78" s="815"/>
      <c r="C78" s="5"/>
      <c r="D78" s="5" t="s">
        <v>399</v>
      </c>
      <c r="E78" s="3"/>
      <c r="F78" s="783"/>
      <c r="G78" s="578">
        <f t="shared" ref="G78" si="4">H78+I78</f>
        <v>24636</v>
      </c>
      <c r="H78" s="579">
        <v>24636</v>
      </c>
      <c r="I78" s="579"/>
      <c r="J78" s="580"/>
      <c r="V78" s="492"/>
    </row>
    <row r="79" spans="1:22" ht="110.25" customHeight="1" x14ac:dyDescent="0.25">
      <c r="A79" s="491" t="s">
        <v>621</v>
      </c>
      <c r="B79" s="798" t="s">
        <v>394</v>
      </c>
      <c r="C79" s="5" t="s">
        <v>395</v>
      </c>
      <c r="D79" s="5" t="s">
        <v>396</v>
      </c>
      <c r="E79" s="5" t="s">
        <v>658</v>
      </c>
      <c r="F79" s="5" t="s">
        <v>928</v>
      </c>
      <c r="G79" s="578">
        <f t="shared" si="0"/>
        <v>3516269</v>
      </c>
      <c r="H79" s="579">
        <f>2449300+15000+187000+301509+7685+96921+225854+103000+50000+80000</f>
        <v>3516269</v>
      </c>
      <c r="I79" s="579"/>
      <c r="J79" s="580"/>
      <c r="K79" s="492">
        <f>K75+1121825</f>
        <v>4371494.1500000004</v>
      </c>
      <c r="V79" s="492">
        <f>G79-G80</f>
        <v>1122430</v>
      </c>
    </row>
    <row r="80" spans="1:22" ht="28.5" customHeight="1" x14ac:dyDescent="0.25">
      <c r="A80" s="8"/>
      <c r="B80" s="798"/>
      <c r="C80" s="5"/>
      <c r="D80" s="5" t="s">
        <v>399</v>
      </c>
      <c r="E80" s="783"/>
      <c r="F80" s="5"/>
      <c r="G80" s="578">
        <f t="shared" si="0"/>
        <v>2393839</v>
      </c>
      <c r="H80" s="579">
        <f>1855300+15000+187000+7685+225854+103000</f>
        <v>2393839</v>
      </c>
      <c r="I80" s="579"/>
      <c r="J80" s="580"/>
      <c r="K80" s="492">
        <f>H79-H80</f>
        <v>1122430</v>
      </c>
    </row>
    <row r="81" spans="1:11" ht="39.6" x14ac:dyDescent="0.25">
      <c r="A81" s="491" t="s">
        <v>705</v>
      </c>
      <c r="B81" s="798" t="s">
        <v>28</v>
      </c>
      <c r="C81" s="5" t="s">
        <v>29</v>
      </c>
      <c r="D81" s="5" t="s">
        <v>30</v>
      </c>
      <c r="E81" s="5" t="s">
        <v>31</v>
      </c>
      <c r="F81" s="5" t="s">
        <v>32</v>
      </c>
      <c r="G81" s="578">
        <f t="shared" si="0"/>
        <v>12000</v>
      </c>
      <c r="H81" s="579">
        <v>12000</v>
      </c>
      <c r="I81" s="579">
        <v>0</v>
      </c>
      <c r="J81" s="580">
        <v>0</v>
      </c>
      <c r="K81" s="492">
        <f>K79+K80</f>
        <v>5493924.1500000004</v>
      </c>
    </row>
    <row r="82" spans="1:11" ht="52.8" x14ac:dyDescent="0.25">
      <c r="A82" s="491" t="s">
        <v>703</v>
      </c>
      <c r="B82" s="798" t="s">
        <v>34</v>
      </c>
      <c r="C82" s="5" t="s">
        <v>35</v>
      </c>
      <c r="D82" s="5" t="s">
        <v>36</v>
      </c>
      <c r="E82" s="5" t="s">
        <v>31</v>
      </c>
      <c r="F82" s="5" t="s">
        <v>32</v>
      </c>
      <c r="G82" s="578">
        <f t="shared" si="0"/>
        <v>125700</v>
      </c>
      <c r="H82" s="579">
        <f>60000+5700</f>
        <v>65700</v>
      </c>
      <c r="I82" s="579">
        <v>60000</v>
      </c>
      <c r="J82" s="580">
        <v>0</v>
      </c>
      <c r="K82" s="492">
        <f>G76+G80</f>
        <v>5493018</v>
      </c>
    </row>
    <row r="83" spans="1:11" ht="52.8" x14ac:dyDescent="0.25">
      <c r="A83" s="491" t="s">
        <v>706</v>
      </c>
      <c r="B83" s="798" t="s">
        <v>47</v>
      </c>
      <c r="C83" s="5" t="s">
        <v>39</v>
      </c>
      <c r="D83" s="5" t="s">
        <v>48</v>
      </c>
      <c r="E83" s="5" t="s">
        <v>49</v>
      </c>
      <c r="F83" s="5" t="s">
        <v>50</v>
      </c>
      <c r="G83" s="578">
        <f t="shared" si="0"/>
        <v>194040</v>
      </c>
      <c r="H83" s="579">
        <f>195000+195000-195000-960</f>
        <v>194040</v>
      </c>
      <c r="I83" s="579">
        <v>0</v>
      </c>
      <c r="J83" s="580">
        <v>0</v>
      </c>
    </row>
    <row r="84" spans="1:11" ht="66" x14ac:dyDescent="0.25">
      <c r="A84" s="642" t="s">
        <v>707</v>
      </c>
      <c r="B84" s="798" t="s">
        <v>52</v>
      </c>
      <c r="C84" s="5" t="s">
        <v>53</v>
      </c>
      <c r="D84" s="5" t="s">
        <v>54</v>
      </c>
      <c r="E84" s="5" t="s">
        <v>31</v>
      </c>
      <c r="F84" s="5" t="s">
        <v>32</v>
      </c>
      <c r="G84" s="578">
        <f t="shared" si="0"/>
        <v>98467</v>
      </c>
      <c r="H84" s="579">
        <f>35000+8467+55000</f>
        <v>98467</v>
      </c>
      <c r="I84" s="579">
        <v>0</v>
      </c>
      <c r="J84" s="580">
        <v>0</v>
      </c>
    </row>
    <row r="85" spans="1:11" ht="39.6" x14ac:dyDescent="0.25">
      <c r="A85" s="642" t="s">
        <v>708</v>
      </c>
      <c r="B85" s="798" t="s">
        <v>56</v>
      </c>
      <c r="C85" s="5" t="s">
        <v>57</v>
      </c>
      <c r="D85" s="5" t="s">
        <v>58</v>
      </c>
      <c r="E85" s="5" t="s">
        <v>31</v>
      </c>
      <c r="F85" s="5" t="s">
        <v>32</v>
      </c>
      <c r="G85" s="578">
        <f t="shared" si="0"/>
        <v>40500</v>
      </c>
      <c r="H85" s="579">
        <f>35600+4900</f>
        <v>40500</v>
      </c>
      <c r="I85" s="579">
        <v>0</v>
      </c>
      <c r="J85" s="580">
        <v>0</v>
      </c>
    </row>
    <row r="86" spans="1:11" ht="39.6" x14ac:dyDescent="0.25">
      <c r="A86" s="642" t="s">
        <v>698</v>
      </c>
      <c r="B86" s="798">
        <v>3192</v>
      </c>
      <c r="C86" s="5">
        <v>1030</v>
      </c>
      <c r="D86" s="5" t="s">
        <v>412</v>
      </c>
      <c r="E86" s="5" t="s">
        <v>31</v>
      </c>
      <c r="F86" s="5" t="s">
        <v>32</v>
      </c>
      <c r="G86" s="578">
        <f t="shared" si="0"/>
        <v>90000</v>
      </c>
      <c r="H86" s="579">
        <v>90000</v>
      </c>
      <c r="I86" s="579">
        <v>0</v>
      </c>
      <c r="J86" s="580">
        <v>0</v>
      </c>
    </row>
    <row r="87" spans="1:11" ht="39.6" hidden="1" x14ac:dyDescent="0.25">
      <c r="A87" s="642" t="s">
        <v>709</v>
      </c>
      <c r="B87" s="798" t="s">
        <v>60</v>
      </c>
      <c r="C87" s="5" t="s">
        <v>61</v>
      </c>
      <c r="D87" s="5" t="s">
        <v>62</v>
      </c>
      <c r="E87" s="5" t="s">
        <v>31</v>
      </c>
      <c r="F87" s="5" t="s">
        <v>32</v>
      </c>
      <c r="G87" s="578">
        <f t="shared" si="0"/>
        <v>0</v>
      </c>
      <c r="H87" s="579">
        <f>249000-249000</f>
        <v>0</v>
      </c>
      <c r="I87" s="579">
        <v>0</v>
      </c>
      <c r="J87" s="580">
        <v>0</v>
      </c>
    </row>
    <row r="88" spans="1:11" ht="79.2" x14ac:dyDescent="0.25">
      <c r="A88" s="642" t="s">
        <v>710</v>
      </c>
      <c r="B88" s="798" t="s">
        <v>64</v>
      </c>
      <c r="C88" s="5" t="s">
        <v>65</v>
      </c>
      <c r="D88" s="5" t="s">
        <v>66</v>
      </c>
      <c r="E88" s="5" t="s">
        <v>67</v>
      </c>
      <c r="F88" s="5" t="s">
        <v>68</v>
      </c>
      <c r="G88" s="578">
        <f t="shared" si="0"/>
        <v>165000</v>
      </c>
      <c r="H88" s="579">
        <f>100000+65000</f>
        <v>165000</v>
      </c>
      <c r="I88" s="579">
        <v>0</v>
      </c>
      <c r="J88" s="580">
        <v>0</v>
      </c>
    </row>
    <row r="89" spans="1:11" ht="52.8" x14ac:dyDescent="0.25">
      <c r="A89" s="642" t="s">
        <v>710</v>
      </c>
      <c r="B89" s="798" t="s">
        <v>64</v>
      </c>
      <c r="C89" s="5" t="s">
        <v>65</v>
      </c>
      <c r="D89" s="5" t="s">
        <v>66</v>
      </c>
      <c r="E89" s="5" t="s">
        <v>21</v>
      </c>
      <c r="F89" s="5" t="s">
        <v>927</v>
      </c>
      <c r="G89" s="578">
        <f t="shared" si="0"/>
        <v>70000</v>
      </c>
      <c r="H89" s="579">
        <v>70000</v>
      </c>
      <c r="I89" s="579">
        <v>0</v>
      </c>
      <c r="J89" s="580">
        <v>0</v>
      </c>
    </row>
    <row r="90" spans="1:11" ht="39.6" x14ac:dyDescent="0.25">
      <c r="A90" s="642" t="s">
        <v>710</v>
      </c>
      <c r="B90" s="798" t="s">
        <v>64</v>
      </c>
      <c r="C90" s="5" t="s">
        <v>65</v>
      </c>
      <c r="D90" s="5" t="s">
        <v>66</v>
      </c>
      <c r="E90" s="5" t="s">
        <v>31</v>
      </c>
      <c r="F90" s="5" t="s">
        <v>32</v>
      </c>
      <c r="G90" s="578">
        <f t="shared" si="0"/>
        <v>559000</v>
      </c>
      <c r="H90" s="579">
        <f>450000+94000+15000</f>
        <v>559000</v>
      </c>
      <c r="I90" s="579">
        <v>0</v>
      </c>
      <c r="J90" s="580">
        <v>0</v>
      </c>
    </row>
    <row r="91" spans="1:11" ht="32.25" customHeight="1" x14ac:dyDescent="0.25">
      <c r="A91" s="7" t="s">
        <v>161</v>
      </c>
      <c r="B91" s="615" t="s">
        <v>16</v>
      </c>
      <c r="C91" s="4" t="s">
        <v>16</v>
      </c>
      <c r="D91" s="4" t="s">
        <v>162</v>
      </c>
      <c r="E91" s="4" t="s">
        <v>16</v>
      </c>
      <c r="F91" s="4" t="s">
        <v>16</v>
      </c>
      <c r="G91" s="577">
        <f>SUM(G92:G98)</f>
        <v>718116</v>
      </c>
      <c r="H91" s="577">
        <f>SUM(H92:H98)</f>
        <v>588820</v>
      </c>
      <c r="I91" s="577">
        <f>SUM(I92:I98)</f>
        <v>129296</v>
      </c>
      <c r="J91" s="616">
        <f>SUM(J92:J98)</f>
        <v>0</v>
      </c>
    </row>
    <row r="92" spans="1:11" ht="52.8" x14ac:dyDescent="0.25">
      <c r="A92" s="8" t="s">
        <v>459</v>
      </c>
      <c r="B92" s="798" t="s">
        <v>437</v>
      </c>
      <c r="C92" s="5" t="s">
        <v>19</v>
      </c>
      <c r="D92" s="643" t="s">
        <v>438</v>
      </c>
      <c r="E92" s="5" t="s">
        <v>21</v>
      </c>
      <c r="F92" s="5" t="s">
        <v>927</v>
      </c>
      <c r="G92" s="578">
        <f t="shared" si="0"/>
        <v>1500</v>
      </c>
      <c r="H92" s="578">
        <v>1500</v>
      </c>
      <c r="I92" s="579">
        <v>0</v>
      </c>
      <c r="J92" s="580">
        <v>0</v>
      </c>
    </row>
    <row r="93" spans="1:11" ht="54.75" customHeight="1" x14ac:dyDescent="0.25">
      <c r="A93" s="8" t="s">
        <v>163</v>
      </c>
      <c r="B93" s="798" t="s">
        <v>164</v>
      </c>
      <c r="C93" s="5" t="s">
        <v>151</v>
      </c>
      <c r="D93" s="5" t="s">
        <v>165</v>
      </c>
      <c r="E93" s="5" t="s">
        <v>21</v>
      </c>
      <c r="F93" s="5" t="s">
        <v>927</v>
      </c>
      <c r="G93" s="578">
        <f t="shared" si="0"/>
        <v>417216</v>
      </c>
      <c r="H93" s="579">
        <v>287920</v>
      </c>
      <c r="I93" s="579">
        <v>129296</v>
      </c>
      <c r="J93" s="580">
        <v>0</v>
      </c>
    </row>
    <row r="94" spans="1:11" s="736" customFormat="1" ht="54.75" customHeight="1" x14ac:dyDescent="0.25">
      <c r="A94" s="731" t="s">
        <v>469</v>
      </c>
      <c r="B94" s="732" t="s">
        <v>470</v>
      </c>
      <c r="C94" s="733" t="s">
        <v>471</v>
      </c>
      <c r="D94" s="733" t="s">
        <v>472</v>
      </c>
      <c r="E94" s="733" t="s">
        <v>21</v>
      </c>
      <c r="F94" s="733" t="s">
        <v>927</v>
      </c>
      <c r="G94" s="734">
        <f>H94+I94</f>
        <v>191000</v>
      </c>
      <c r="H94" s="735">
        <f>48000+76500+43000-1500+20000+5000</f>
        <v>191000</v>
      </c>
      <c r="I94" s="579">
        <v>0</v>
      </c>
      <c r="J94" s="580">
        <v>0</v>
      </c>
    </row>
    <row r="95" spans="1:11" ht="54.75" customHeight="1" x14ac:dyDescent="0.25">
      <c r="A95" s="8" t="s">
        <v>473</v>
      </c>
      <c r="B95" s="798" t="s">
        <v>474</v>
      </c>
      <c r="C95" s="5" t="s">
        <v>168</v>
      </c>
      <c r="D95" s="5" t="s">
        <v>475</v>
      </c>
      <c r="E95" s="5" t="s">
        <v>21</v>
      </c>
      <c r="F95" s="5" t="s">
        <v>927</v>
      </c>
      <c r="G95" s="578">
        <f>H95+I95</f>
        <v>1500</v>
      </c>
      <c r="H95" s="579">
        <v>1500</v>
      </c>
      <c r="I95" s="579">
        <v>0</v>
      </c>
      <c r="J95" s="580">
        <v>0</v>
      </c>
    </row>
    <row r="96" spans="1:11" ht="52.8" x14ac:dyDescent="0.25">
      <c r="A96" s="8" t="s">
        <v>166</v>
      </c>
      <c r="B96" s="798" t="s">
        <v>167</v>
      </c>
      <c r="C96" s="5" t="s">
        <v>168</v>
      </c>
      <c r="D96" s="5" t="s">
        <v>169</v>
      </c>
      <c r="E96" s="5" t="s">
        <v>21</v>
      </c>
      <c r="F96" s="5" t="s">
        <v>927</v>
      </c>
      <c r="G96" s="578">
        <f t="shared" si="0"/>
        <v>42900</v>
      </c>
      <c r="H96" s="579">
        <v>42900</v>
      </c>
      <c r="I96" s="579">
        <v>0</v>
      </c>
      <c r="J96" s="580">
        <v>0</v>
      </c>
    </row>
    <row r="97" spans="1:10" ht="52.8" x14ac:dyDescent="0.25">
      <c r="A97" s="8" t="s">
        <v>170</v>
      </c>
      <c r="B97" s="798" t="s">
        <v>171</v>
      </c>
      <c r="C97" s="5" t="s">
        <v>172</v>
      </c>
      <c r="D97" s="5" t="s">
        <v>173</v>
      </c>
      <c r="E97" s="5" t="s">
        <v>174</v>
      </c>
      <c r="F97" s="5" t="s">
        <v>175</v>
      </c>
      <c r="G97" s="578">
        <f t="shared" si="0"/>
        <v>49000</v>
      </c>
      <c r="H97" s="579">
        <v>49000</v>
      </c>
      <c r="I97" s="579">
        <v>0</v>
      </c>
      <c r="J97" s="580">
        <v>0</v>
      </c>
    </row>
    <row r="98" spans="1:10" ht="39.6" x14ac:dyDescent="0.25">
      <c r="A98" s="8" t="s">
        <v>176</v>
      </c>
      <c r="B98" s="798" t="s">
        <v>177</v>
      </c>
      <c r="C98" s="5" t="s">
        <v>178</v>
      </c>
      <c r="D98" s="5" t="s">
        <v>179</v>
      </c>
      <c r="E98" s="5" t="s">
        <v>180</v>
      </c>
      <c r="F98" s="5" t="s">
        <v>181</v>
      </c>
      <c r="G98" s="578">
        <f>H98+I98</f>
        <v>15000</v>
      </c>
      <c r="H98" s="579">
        <v>15000</v>
      </c>
      <c r="I98" s="579">
        <v>0</v>
      </c>
      <c r="J98" s="580">
        <v>0</v>
      </c>
    </row>
    <row r="99" spans="1:10" ht="31.2" customHeight="1" x14ac:dyDescent="0.25">
      <c r="A99" s="7">
        <v>3700000</v>
      </c>
      <c r="B99" s="615"/>
      <c r="C99" s="4"/>
      <c r="D99" s="4" t="s">
        <v>478</v>
      </c>
      <c r="E99" s="5"/>
      <c r="F99" s="5"/>
      <c r="G99" s="577">
        <f>G100+G101</f>
        <v>1032376</v>
      </c>
      <c r="H99" s="577">
        <f>H100+H101</f>
        <v>50000</v>
      </c>
      <c r="I99" s="577">
        <f>I100+I101</f>
        <v>982376</v>
      </c>
      <c r="J99" s="616">
        <f>J100+J101</f>
        <v>982376</v>
      </c>
    </row>
    <row r="100" spans="1:10" ht="39.6" x14ac:dyDescent="0.25">
      <c r="A100" s="8" t="s">
        <v>728</v>
      </c>
      <c r="B100" s="798" t="s">
        <v>730</v>
      </c>
      <c r="C100" s="5" t="s">
        <v>24</v>
      </c>
      <c r="D100" s="5" t="s">
        <v>342</v>
      </c>
      <c r="E100" s="5" t="s">
        <v>21</v>
      </c>
      <c r="F100" s="5" t="s">
        <v>927</v>
      </c>
      <c r="G100" s="578">
        <f>H100+I100</f>
        <v>782376</v>
      </c>
      <c r="H100" s="577">
        <v>0</v>
      </c>
      <c r="I100" s="579">
        <f>620000+50000+112376</f>
        <v>782376</v>
      </c>
      <c r="J100" s="579">
        <f>620000+50000+112376</f>
        <v>782376</v>
      </c>
    </row>
    <row r="101" spans="1:10" ht="92.4" x14ac:dyDescent="0.25">
      <c r="A101" s="8" t="s">
        <v>727</v>
      </c>
      <c r="B101" s="798" t="s">
        <v>715</v>
      </c>
      <c r="C101" s="5" t="s">
        <v>24</v>
      </c>
      <c r="D101" s="5" t="s">
        <v>719</v>
      </c>
      <c r="E101" s="5" t="s">
        <v>777</v>
      </c>
      <c r="F101" s="5" t="s">
        <v>776</v>
      </c>
      <c r="G101" s="578">
        <f>H101+I101</f>
        <v>250000</v>
      </c>
      <c r="H101" s="578">
        <v>50000</v>
      </c>
      <c r="I101" s="579">
        <v>200000</v>
      </c>
      <c r="J101" s="580">
        <v>200000</v>
      </c>
    </row>
    <row r="102" spans="1:10" ht="12.75" hidden="1" customHeight="1" x14ac:dyDescent="0.25">
      <c r="A102" s="8"/>
      <c r="B102" s="798"/>
      <c r="C102" s="5"/>
      <c r="D102" s="5"/>
      <c r="E102" s="5"/>
      <c r="F102" s="5"/>
      <c r="G102" s="578"/>
      <c r="H102" s="579"/>
      <c r="I102" s="579"/>
      <c r="J102" s="580"/>
    </row>
    <row r="103" spans="1:10" ht="12.75" hidden="1" customHeight="1" x14ac:dyDescent="0.25">
      <c r="A103" s="8"/>
      <c r="B103" s="798"/>
      <c r="C103" s="5"/>
      <c r="D103" s="5"/>
      <c r="E103" s="5"/>
      <c r="F103" s="5"/>
      <c r="G103" s="578"/>
      <c r="H103" s="579"/>
      <c r="I103" s="579"/>
      <c r="J103" s="580"/>
    </row>
    <row r="104" spans="1:10" ht="12.75" hidden="1" customHeight="1" x14ac:dyDescent="0.25">
      <c r="A104" s="8"/>
      <c r="B104" s="798"/>
      <c r="C104" s="5"/>
      <c r="D104" s="5"/>
      <c r="E104" s="5"/>
      <c r="F104" s="5"/>
      <c r="G104" s="578"/>
      <c r="H104" s="579"/>
      <c r="I104" s="579"/>
      <c r="J104" s="580"/>
    </row>
    <row r="105" spans="1:10" ht="12.75" hidden="1" customHeight="1" x14ac:dyDescent="0.25">
      <c r="A105" s="8"/>
      <c r="B105" s="798"/>
      <c r="C105" s="5"/>
      <c r="D105" s="5"/>
      <c r="E105" s="5"/>
      <c r="F105" s="5"/>
      <c r="G105" s="578"/>
      <c r="H105" s="579"/>
      <c r="I105" s="579"/>
      <c r="J105" s="580"/>
    </row>
    <row r="106" spans="1:10" ht="12.75" hidden="1" customHeight="1" x14ac:dyDescent="0.25">
      <c r="A106" s="8"/>
      <c r="B106" s="798"/>
      <c r="C106" s="5"/>
      <c r="D106" s="5"/>
      <c r="E106" s="5"/>
      <c r="F106" s="5"/>
      <c r="G106" s="578"/>
      <c r="H106" s="579"/>
      <c r="I106" s="579"/>
      <c r="J106" s="580"/>
    </row>
    <row r="107" spans="1:10" hidden="1" x14ac:dyDescent="0.25">
      <c r="A107" s="8"/>
      <c r="B107" s="798"/>
      <c r="C107" s="5"/>
      <c r="D107" s="5"/>
      <c r="E107" s="5"/>
      <c r="F107" s="5"/>
      <c r="G107" s="578"/>
      <c r="H107" s="579"/>
      <c r="I107" s="579"/>
      <c r="J107" s="580"/>
    </row>
    <row r="108" spans="1:10" hidden="1" x14ac:dyDescent="0.25">
      <c r="A108" s="8"/>
      <c r="B108" s="798"/>
      <c r="C108" s="5"/>
      <c r="D108" s="5"/>
      <c r="E108" s="5"/>
      <c r="F108" s="5"/>
      <c r="G108" s="578"/>
      <c r="H108" s="579"/>
      <c r="I108" s="579"/>
      <c r="J108" s="580"/>
    </row>
    <row r="109" spans="1:10" hidden="1" x14ac:dyDescent="0.25">
      <c r="A109" s="8"/>
      <c r="B109" s="798"/>
      <c r="C109" s="5"/>
      <c r="D109" s="5"/>
      <c r="E109" s="5"/>
      <c r="F109" s="5"/>
      <c r="G109" s="578"/>
      <c r="H109" s="579"/>
      <c r="I109" s="579"/>
      <c r="J109" s="580"/>
    </row>
    <row r="110" spans="1:10" hidden="1" x14ac:dyDescent="0.25">
      <c r="A110" s="8"/>
      <c r="B110" s="798"/>
      <c r="C110" s="5"/>
      <c r="D110" s="5"/>
      <c r="E110" s="5"/>
      <c r="F110" s="5"/>
      <c r="G110" s="578"/>
      <c r="H110" s="579"/>
      <c r="I110" s="579"/>
      <c r="J110" s="580"/>
    </row>
    <row r="111" spans="1:10" hidden="1" x14ac:dyDescent="0.25">
      <c r="A111" s="8"/>
      <c r="B111" s="798"/>
      <c r="C111" s="5"/>
      <c r="D111" s="5"/>
      <c r="E111" s="5"/>
      <c r="F111" s="5"/>
      <c r="G111" s="578"/>
      <c r="H111" s="579"/>
      <c r="I111" s="579">
        <v>0</v>
      </c>
      <c r="J111" s="580">
        <v>0</v>
      </c>
    </row>
    <row r="112" spans="1:10" ht="23.25" customHeight="1" thickBot="1" x14ac:dyDescent="0.3">
      <c r="A112" s="582" t="s">
        <v>183</v>
      </c>
      <c r="B112" s="583" t="s">
        <v>183</v>
      </c>
      <c r="C112" s="583" t="s">
        <v>183</v>
      </c>
      <c r="D112" s="584" t="s">
        <v>182</v>
      </c>
      <c r="E112" s="584" t="s">
        <v>183</v>
      </c>
      <c r="F112" s="584" t="s">
        <v>183</v>
      </c>
      <c r="G112" s="581">
        <f>G10+G56+G91+G73+G99</f>
        <v>37033331.689999998</v>
      </c>
      <c r="H112" s="581">
        <f>H10+H56+H91+H73+H99</f>
        <v>27030006.509999998</v>
      </c>
      <c r="I112" s="581">
        <f>I10+I56+I91+I73+I99</f>
        <v>10003325.18</v>
      </c>
      <c r="J112" s="800">
        <f>J10+J56+J91+J73+J99</f>
        <v>7787643</v>
      </c>
    </row>
    <row r="113" spans="4:10" x14ac:dyDescent="0.25">
      <c r="G113" s="492"/>
    </row>
    <row r="114" spans="4:10" x14ac:dyDescent="0.25">
      <c r="J114" s="492"/>
    </row>
    <row r="115" spans="4:10" ht="15.6" x14ac:dyDescent="0.3">
      <c r="D115" s="591" t="s">
        <v>676</v>
      </c>
      <c r="H115" s="591" t="s">
        <v>675</v>
      </c>
      <c r="J115" s="492"/>
    </row>
    <row r="116" spans="4:10" hidden="1" x14ac:dyDescent="0.25"/>
    <row r="117" spans="4:10" hidden="1" x14ac:dyDescent="0.25"/>
    <row r="118" spans="4:10" hidden="1" x14ac:dyDescent="0.25"/>
    <row r="119" spans="4:10" hidden="1" x14ac:dyDescent="0.25"/>
    <row r="120" spans="4:10" hidden="1" x14ac:dyDescent="0.25"/>
    <row r="121" spans="4:10" hidden="1" x14ac:dyDescent="0.25"/>
    <row r="122" spans="4:10" hidden="1" x14ac:dyDescent="0.25"/>
    <row r="123" spans="4:10" hidden="1" x14ac:dyDescent="0.25"/>
    <row r="124" spans="4:10" hidden="1" x14ac:dyDescent="0.25"/>
    <row r="125" spans="4:10" hidden="1" x14ac:dyDescent="0.25"/>
    <row r="126" spans="4:10" hidden="1" x14ac:dyDescent="0.25"/>
    <row r="127" spans="4:10" hidden="1" x14ac:dyDescent="0.25"/>
    <row r="128" spans="4:10"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sheetData>
  <mergeCells count="10">
    <mergeCell ref="A4:J4"/>
    <mergeCell ref="A7:A8"/>
    <mergeCell ref="B7:B8"/>
    <mergeCell ref="C7:C8"/>
    <mergeCell ref="D7:D8"/>
    <mergeCell ref="E7:E8"/>
    <mergeCell ref="F7:F8"/>
    <mergeCell ref="G7:G8"/>
    <mergeCell ref="H7:H8"/>
    <mergeCell ref="I7:J7"/>
  </mergeCells>
  <pageMargins left="0.78740157480314965" right="0.39370078740157483" top="0.70866141732283472" bottom="0.78740157480314965" header="0" footer="0"/>
  <pageSetup paperSize="9" scale="52" fitToHeight="9" orientation="landscape" verticalDpi="36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F224"/>
  <sheetViews>
    <sheetView view="pageBreakPreview" topLeftCell="A178" zoomScale="75" zoomScaleNormal="100" zoomScaleSheetLayoutView="75" workbookViewId="0">
      <selection activeCell="E182" sqref="E182"/>
    </sheetView>
  </sheetViews>
  <sheetFormatPr defaultRowHeight="10.199999999999999" x14ac:dyDescent="0.3"/>
  <cols>
    <col min="1" max="1" width="16" style="438" customWidth="1"/>
    <col min="2" max="2" width="11" style="485" customWidth="1"/>
    <col min="3" max="3" width="15.6640625" style="486" customWidth="1"/>
    <col min="4" max="4" width="17.109375" style="482" customWidth="1"/>
    <col min="5" max="5" width="126.109375" style="438" customWidth="1"/>
    <col min="6" max="6" width="17.33203125" style="438" customWidth="1"/>
    <col min="7" max="256" width="9.109375" style="438"/>
    <col min="257" max="257" width="16" style="438" customWidth="1"/>
    <col min="258" max="258" width="11" style="438" customWidth="1"/>
    <col min="259" max="259" width="14.33203125" style="438" customWidth="1"/>
    <col min="260" max="260" width="17.109375" style="438" customWidth="1"/>
    <col min="261" max="261" width="126.109375" style="438" customWidth="1"/>
    <col min="262" max="262" width="9.109375" style="438" customWidth="1"/>
    <col min="263" max="512" width="9.109375" style="438"/>
    <col min="513" max="513" width="16" style="438" customWidth="1"/>
    <col min="514" max="514" width="11" style="438" customWidth="1"/>
    <col min="515" max="515" width="14.33203125" style="438" customWidth="1"/>
    <col min="516" max="516" width="17.109375" style="438" customWidth="1"/>
    <col min="517" max="517" width="126.109375" style="438" customWidth="1"/>
    <col min="518" max="518" width="9.109375" style="438" customWidth="1"/>
    <col min="519" max="768" width="9.109375" style="438"/>
    <col min="769" max="769" width="16" style="438" customWidth="1"/>
    <col min="770" max="770" width="11" style="438" customWidth="1"/>
    <col min="771" max="771" width="14.33203125" style="438" customWidth="1"/>
    <col min="772" max="772" width="17.109375" style="438" customWidth="1"/>
    <col min="773" max="773" width="126.109375" style="438" customWidth="1"/>
    <col min="774" max="774" width="9.109375" style="438" customWidth="1"/>
    <col min="775" max="1024" width="9.109375" style="438"/>
    <col min="1025" max="1025" width="16" style="438" customWidth="1"/>
    <col min="1026" max="1026" width="11" style="438" customWidth="1"/>
    <col min="1027" max="1027" width="14.33203125" style="438" customWidth="1"/>
    <col min="1028" max="1028" width="17.109375" style="438" customWidth="1"/>
    <col min="1029" max="1029" width="126.109375" style="438" customWidth="1"/>
    <col min="1030" max="1030" width="9.109375" style="438" customWidth="1"/>
    <col min="1031" max="1280" width="9.109375" style="438"/>
    <col min="1281" max="1281" width="16" style="438" customWidth="1"/>
    <col min="1282" max="1282" width="11" style="438" customWidth="1"/>
    <col min="1283" max="1283" width="14.33203125" style="438" customWidth="1"/>
    <col min="1284" max="1284" width="17.109375" style="438" customWidth="1"/>
    <col min="1285" max="1285" width="126.109375" style="438" customWidth="1"/>
    <col min="1286" max="1286" width="9.109375" style="438" customWidth="1"/>
    <col min="1287" max="1536" width="9.109375" style="438"/>
    <col min="1537" max="1537" width="16" style="438" customWidth="1"/>
    <col min="1538" max="1538" width="11" style="438" customWidth="1"/>
    <col min="1539" max="1539" width="14.33203125" style="438" customWidth="1"/>
    <col min="1540" max="1540" width="17.109375" style="438" customWidth="1"/>
    <col min="1541" max="1541" width="126.109375" style="438" customWidth="1"/>
    <col min="1542" max="1542" width="9.109375" style="438" customWidth="1"/>
    <col min="1543" max="1792" width="9.109375" style="438"/>
    <col min="1793" max="1793" width="16" style="438" customWidth="1"/>
    <col min="1794" max="1794" width="11" style="438" customWidth="1"/>
    <col min="1795" max="1795" width="14.33203125" style="438" customWidth="1"/>
    <col min="1796" max="1796" width="17.109375" style="438" customWidth="1"/>
    <col min="1797" max="1797" width="126.109375" style="438" customWidth="1"/>
    <col min="1798" max="1798" width="9.109375" style="438" customWidth="1"/>
    <col min="1799" max="2048" width="9.109375" style="438"/>
    <col min="2049" max="2049" width="16" style="438" customWidth="1"/>
    <col min="2050" max="2050" width="11" style="438" customWidth="1"/>
    <col min="2051" max="2051" width="14.33203125" style="438" customWidth="1"/>
    <col min="2052" max="2052" width="17.109375" style="438" customWidth="1"/>
    <col min="2053" max="2053" width="126.109375" style="438" customWidth="1"/>
    <col min="2054" max="2054" width="9.109375" style="438" customWidth="1"/>
    <col min="2055" max="2304" width="9.109375" style="438"/>
    <col min="2305" max="2305" width="16" style="438" customWidth="1"/>
    <col min="2306" max="2306" width="11" style="438" customWidth="1"/>
    <col min="2307" max="2307" width="14.33203125" style="438" customWidth="1"/>
    <col min="2308" max="2308" width="17.109375" style="438" customWidth="1"/>
    <col min="2309" max="2309" width="126.109375" style="438" customWidth="1"/>
    <col min="2310" max="2310" width="9.109375" style="438" customWidth="1"/>
    <col min="2311" max="2560" width="9.109375" style="438"/>
    <col min="2561" max="2561" width="16" style="438" customWidth="1"/>
    <col min="2562" max="2562" width="11" style="438" customWidth="1"/>
    <col min="2563" max="2563" width="14.33203125" style="438" customWidth="1"/>
    <col min="2564" max="2564" width="17.109375" style="438" customWidth="1"/>
    <col min="2565" max="2565" width="126.109375" style="438" customWidth="1"/>
    <col min="2566" max="2566" width="9.109375" style="438" customWidth="1"/>
    <col min="2567" max="2816" width="9.109375" style="438"/>
    <col min="2817" max="2817" width="16" style="438" customWidth="1"/>
    <col min="2818" max="2818" width="11" style="438" customWidth="1"/>
    <col min="2819" max="2819" width="14.33203125" style="438" customWidth="1"/>
    <col min="2820" max="2820" width="17.109375" style="438" customWidth="1"/>
    <col min="2821" max="2821" width="126.109375" style="438" customWidth="1"/>
    <col min="2822" max="2822" width="9.109375" style="438" customWidth="1"/>
    <col min="2823" max="3072" width="9.109375" style="438"/>
    <col min="3073" max="3073" width="16" style="438" customWidth="1"/>
    <col min="3074" max="3074" width="11" style="438" customWidth="1"/>
    <col min="3075" max="3075" width="14.33203125" style="438" customWidth="1"/>
    <col min="3076" max="3076" width="17.109375" style="438" customWidth="1"/>
    <col min="3077" max="3077" width="126.109375" style="438" customWidth="1"/>
    <col min="3078" max="3078" width="9.109375" style="438" customWidth="1"/>
    <col min="3079" max="3328" width="9.109375" style="438"/>
    <col min="3329" max="3329" width="16" style="438" customWidth="1"/>
    <col min="3330" max="3330" width="11" style="438" customWidth="1"/>
    <col min="3331" max="3331" width="14.33203125" style="438" customWidth="1"/>
    <col min="3332" max="3332" width="17.109375" style="438" customWidth="1"/>
    <col min="3333" max="3333" width="126.109375" style="438" customWidth="1"/>
    <col min="3334" max="3334" width="9.109375" style="438" customWidth="1"/>
    <col min="3335" max="3584" width="9.109375" style="438"/>
    <col min="3585" max="3585" width="16" style="438" customWidth="1"/>
    <col min="3586" max="3586" width="11" style="438" customWidth="1"/>
    <col min="3587" max="3587" width="14.33203125" style="438" customWidth="1"/>
    <col min="3588" max="3588" width="17.109375" style="438" customWidth="1"/>
    <col min="3589" max="3589" width="126.109375" style="438" customWidth="1"/>
    <col min="3590" max="3590" width="9.109375" style="438" customWidth="1"/>
    <col min="3591" max="3840" width="9.109375" style="438"/>
    <col min="3841" max="3841" width="16" style="438" customWidth="1"/>
    <col min="3842" max="3842" width="11" style="438" customWidth="1"/>
    <col min="3843" max="3843" width="14.33203125" style="438" customWidth="1"/>
    <col min="3844" max="3844" width="17.109375" style="438" customWidth="1"/>
    <col min="3845" max="3845" width="126.109375" style="438" customWidth="1"/>
    <col min="3846" max="3846" width="9.109375" style="438" customWidth="1"/>
    <col min="3847" max="4096" width="9.109375" style="438"/>
    <col min="4097" max="4097" width="16" style="438" customWidth="1"/>
    <col min="4098" max="4098" width="11" style="438" customWidth="1"/>
    <col min="4099" max="4099" width="14.33203125" style="438" customWidth="1"/>
    <col min="4100" max="4100" width="17.109375" style="438" customWidth="1"/>
    <col min="4101" max="4101" width="126.109375" style="438" customWidth="1"/>
    <col min="4102" max="4102" width="9.109375" style="438" customWidth="1"/>
    <col min="4103" max="4352" width="9.109375" style="438"/>
    <col min="4353" max="4353" width="16" style="438" customWidth="1"/>
    <col min="4354" max="4354" width="11" style="438" customWidth="1"/>
    <col min="4355" max="4355" width="14.33203125" style="438" customWidth="1"/>
    <col min="4356" max="4356" width="17.109375" style="438" customWidth="1"/>
    <col min="4357" max="4357" width="126.109375" style="438" customWidth="1"/>
    <col min="4358" max="4358" width="9.109375" style="438" customWidth="1"/>
    <col min="4359" max="4608" width="9.109375" style="438"/>
    <col min="4609" max="4609" width="16" style="438" customWidth="1"/>
    <col min="4610" max="4610" width="11" style="438" customWidth="1"/>
    <col min="4611" max="4611" width="14.33203125" style="438" customWidth="1"/>
    <col min="4612" max="4612" width="17.109375" style="438" customWidth="1"/>
    <col min="4613" max="4613" width="126.109375" style="438" customWidth="1"/>
    <col min="4614" max="4614" width="9.109375" style="438" customWidth="1"/>
    <col min="4615" max="4864" width="9.109375" style="438"/>
    <col min="4865" max="4865" width="16" style="438" customWidth="1"/>
    <col min="4866" max="4866" width="11" style="438" customWidth="1"/>
    <col min="4867" max="4867" width="14.33203125" style="438" customWidth="1"/>
    <col min="4868" max="4868" width="17.109375" style="438" customWidth="1"/>
    <col min="4869" max="4869" width="126.109375" style="438" customWidth="1"/>
    <col min="4870" max="4870" width="9.109375" style="438" customWidth="1"/>
    <col min="4871" max="5120" width="9.109375" style="438"/>
    <col min="5121" max="5121" width="16" style="438" customWidth="1"/>
    <col min="5122" max="5122" width="11" style="438" customWidth="1"/>
    <col min="5123" max="5123" width="14.33203125" style="438" customWidth="1"/>
    <col min="5124" max="5124" width="17.109375" style="438" customWidth="1"/>
    <col min="5125" max="5125" width="126.109375" style="438" customWidth="1"/>
    <col min="5126" max="5126" width="9.109375" style="438" customWidth="1"/>
    <col min="5127" max="5376" width="9.109375" style="438"/>
    <col min="5377" max="5377" width="16" style="438" customWidth="1"/>
    <col min="5378" max="5378" width="11" style="438" customWidth="1"/>
    <col min="5379" max="5379" width="14.33203125" style="438" customWidth="1"/>
    <col min="5380" max="5380" width="17.109375" style="438" customWidth="1"/>
    <col min="5381" max="5381" width="126.109375" style="438" customWidth="1"/>
    <col min="5382" max="5382" width="9.109375" style="438" customWidth="1"/>
    <col min="5383" max="5632" width="9.109375" style="438"/>
    <col min="5633" max="5633" width="16" style="438" customWidth="1"/>
    <col min="5634" max="5634" width="11" style="438" customWidth="1"/>
    <col min="5635" max="5635" width="14.33203125" style="438" customWidth="1"/>
    <col min="5636" max="5636" width="17.109375" style="438" customWidth="1"/>
    <col min="5637" max="5637" width="126.109375" style="438" customWidth="1"/>
    <col min="5638" max="5638" width="9.109375" style="438" customWidth="1"/>
    <col min="5639" max="5888" width="9.109375" style="438"/>
    <col min="5889" max="5889" width="16" style="438" customWidth="1"/>
    <col min="5890" max="5890" width="11" style="438" customWidth="1"/>
    <col min="5891" max="5891" width="14.33203125" style="438" customWidth="1"/>
    <col min="5892" max="5892" width="17.109375" style="438" customWidth="1"/>
    <col min="5893" max="5893" width="126.109375" style="438" customWidth="1"/>
    <col min="5894" max="5894" width="9.109375" style="438" customWidth="1"/>
    <col min="5895" max="6144" width="9.109375" style="438"/>
    <col min="6145" max="6145" width="16" style="438" customWidth="1"/>
    <col min="6146" max="6146" width="11" style="438" customWidth="1"/>
    <col min="6147" max="6147" width="14.33203125" style="438" customWidth="1"/>
    <col min="6148" max="6148" width="17.109375" style="438" customWidth="1"/>
    <col min="6149" max="6149" width="126.109375" style="438" customWidth="1"/>
    <col min="6150" max="6150" width="9.109375" style="438" customWidth="1"/>
    <col min="6151" max="6400" width="9.109375" style="438"/>
    <col min="6401" max="6401" width="16" style="438" customWidth="1"/>
    <col min="6402" max="6402" width="11" style="438" customWidth="1"/>
    <col min="6403" max="6403" width="14.33203125" style="438" customWidth="1"/>
    <col min="6404" max="6404" width="17.109375" style="438" customWidth="1"/>
    <col min="6405" max="6405" width="126.109375" style="438" customWidth="1"/>
    <col min="6406" max="6406" width="9.109375" style="438" customWidth="1"/>
    <col min="6407" max="6656" width="9.109375" style="438"/>
    <col min="6657" max="6657" width="16" style="438" customWidth="1"/>
    <col min="6658" max="6658" width="11" style="438" customWidth="1"/>
    <col min="6659" max="6659" width="14.33203125" style="438" customWidth="1"/>
    <col min="6660" max="6660" width="17.109375" style="438" customWidth="1"/>
    <col min="6661" max="6661" width="126.109375" style="438" customWidth="1"/>
    <col min="6662" max="6662" width="9.109375" style="438" customWidth="1"/>
    <col min="6663" max="6912" width="9.109375" style="438"/>
    <col min="6913" max="6913" width="16" style="438" customWidth="1"/>
    <col min="6914" max="6914" width="11" style="438" customWidth="1"/>
    <col min="6915" max="6915" width="14.33203125" style="438" customWidth="1"/>
    <col min="6916" max="6916" width="17.109375" style="438" customWidth="1"/>
    <col min="6917" max="6917" width="126.109375" style="438" customWidth="1"/>
    <col min="6918" max="6918" width="9.109375" style="438" customWidth="1"/>
    <col min="6919" max="7168" width="9.109375" style="438"/>
    <col min="7169" max="7169" width="16" style="438" customWidth="1"/>
    <col min="7170" max="7170" width="11" style="438" customWidth="1"/>
    <col min="7171" max="7171" width="14.33203125" style="438" customWidth="1"/>
    <col min="7172" max="7172" width="17.109375" style="438" customWidth="1"/>
    <col min="7173" max="7173" width="126.109375" style="438" customWidth="1"/>
    <col min="7174" max="7174" width="9.109375" style="438" customWidth="1"/>
    <col min="7175" max="7424" width="9.109375" style="438"/>
    <col min="7425" max="7425" width="16" style="438" customWidth="1"/>
    <col min="7426" max="7426" width="11" style="438" customWidth="1"/>
    <col min="7427" max="7427" width="14.33203125" style="438" customWidth="1"/>
    <col min="7428" max="7428" width="17.109375" style="438" customWidth="1"/>
    <col min="7429" max="7429" width="126.109375" style="438" customWidth="1"/>
    <col min="7430" max="7430" width="9.109375" style="438" customWidth="1"/>
    <col min="7431" max="7680" width="9.109375" style="438"/>
    <col min="7681" max="7681" width="16" style="438" customWidth="1"/>
    <col min="7682" max="7682" width="11" style="438" customWidth="1"/>
    <col min="7683" max="7683" width="14.33203125" style="438" customWidth="1"/>
    <col min="7684" max="7684" width="17.109375" style="438" customWidth="1"/>
    <col min="7685" max="7685" width="126.109375" style="438" customWidth="1"/>
    <col min="7686" max="7686" width="9.109375" style="438" customWidth="1"/>
    <col min="7687" max="7936" width="9.109375" style="438"/>
    <col min="7937" max="7937" width="16" style="438" customWidth="1"/>
    <col min="7938" max="7938" width="11" style="438" customWidth="1"/>
    <col min="7939" max="7939" width="14.33203125" style="438" customWidth="1"/>
    <col min="7940" max="7940" width="17.109375" style="438" customWidth="1"/>
    <col min="7941" max="7941" width="126.109375" style="438" customWidth="1"/>
    <col min="7942" max="7942" width="9.109375" style="438" customWidth="1"/>
    <col min="7943" max="8192" width="9.109375" style="438"/>
    <col min="8193" max="8193" width="16" style="438" customWidth="1"/>
    <col min="8194" max="8194" width="11" style="438" customWidth="1"/>
    <col min="8195" max="8195" width="14.33203125" style="438" customWidth="1"/>
    <col min="8196" max="8196" width="17.109375" style="438" customWidth="1"/>
    <col min="8197" max="8197" width="126.109375" style="438" customWidth="1"/>
    <col min="8198" max="8198" width="9.109375" style="438" customWidth="1"/>
    <col min="8199" max="8448" width="9.109375" style="438"/>
    <col min="8449" max="8449" width="16" style="438" customWidth="1"/>
    <col min="8450" max="8450" width="11" style="438" customWidth="1"/>
    <col min="8451" max="8451" width="14.33203125" style="438" customWidth="1"/>
    <col min="8452" max="8452" width="17.109375" style="438" customWidth="1"/>
    <col min="8453" max="8453" width="126.109375" style="438" customWidth="1"/>
    <col min="8454" max="8454" width="9.109375" style="438" customWidth="1"/>
    <col min="8455" max="8704" width="9.109375" style="438"/>
    <col min="8705" max="8705" width="16" style="438" customWidth="1"/>
    <col min="8706" max="8706" width="11" style="438" customWidth="1"/>
    <col min="8707" max="8707" width="14.33203125" style="438" customWidth="1"/>
    <col min="8708" max="8708" width="17.109375" style="438" customWidth="1"/>
    <col min="8709" max="8709" width="126.109375" style="438" customWidth="1"/>
    <col min="8710" max="8710" width="9.109375" style="438" customWidth="1"/>
    <col min="8711" max="8960" width="9.109375" style="438"/>
    <col min="8961" max="8961" width="16" style="438" customWidth="1"/>
    <col min="8962" max="8962" width="11" style="438" customWidth="1"/>
    <col min="8963" max="8963" width="14.33203125" style="438" customWidth="1"/>
    <col min="8964" max="8964" width="17.109375" style="438" customWidth="1"/>
    <col min="8965" max="8965" width="126.109375" style="438" customWidth="1"/>
    <col min="8966" max="8966" width="9.109375" style="438" customWidth="1"/>
    <col min="8967" max="9216" width="9.109375" style="438"/>
    <col min="9217" max="9217" width="16" style="438" customWidth="1"/>
    <col min="9218" max="9218" width="11" style="438" customWidth="1"/>
    <col min="9219" max="9219" width="14.33203125" style="438" customWidth="1"/>
    <col min="9220" max="9220" width="17.109375" style="438" customWidth="1"/>
    <col min="9221" max="9221" width="126.109375" style="438" customWidth="1"/>
    <col min="9222" max="9222" width="9.109375" style="438" customWidth="1"/>
    <col min="9223" max="9472" width="9.109375" style="438"/>
    <col min="9473" max="9473" width="16" style="438" customWidth="1"/>
    <col min="9474" max="9474" width="11" style="438" customWidth="1"/>
    <col min="9475" max="9475" width="14.33203125" style="438" customWidth="1"/>
    <col min="9476" max="9476" width="17.109375" style="438" customWidth="1"/>
    <col min="9477" max="9477" width="126.109375" style="438" customWidth="1"/>
    <col min="9478" max="9478" width="9.109375" style="438" customWidth="1"/>
    <col min="9479" max="9728" width="9.109375" style="438"/>
    <col min="9729" max="9729" width="16" style="438" customWidth="1"/>
    <col min="9730" max="9730" width="11" style="438" customWidth="1"/>
    <col min="9731" max="9731" width="14.33203125" style="438" customWidth="1"/>
    <col min="9732" max="9732" width="17.109375" style="438" customWidth="1"/>
    <col min="9733" max="9733" width="126.109375" style="438" customWidth="1"/>
    <col min="9734" max="9734" width="9.109375" style="438" customWidth="1"/>
    <col min="9735" max="9984" width="9.109375" style="438"/>
    <col min="9985" max="9985" width="16" style="438" customWidth="1"/>
    <col min="9986" max="9986" width="11" style="438" customWidth="1"/>
    <col min="9987" max="9987" width="14.33203125" style="438" customWidth="1"/>
    <col min="9988" max="9988" width="17.109375" style="438" customWidth="1"/>
    <col min="9989" max="9989" width="126.109375" style="438" customWidth="1"/>
    <col min="9990" max="9990" width="9.109375" style="438" customWidth="1"/>
    <col min="9991" max="10240" width="9.109375" style="438"/>
    <col min="10241" max="10241" width="16" style="438" customWidth="1"/>
    <col min="10242" max="10242" width="11" style="438" customWidth="1"/>
    <col min="10243" max="10243" width="14.33203125" style="438" customWidth="1"/>
    <col min="10244" max="10244" width="17.109375" style="438" customWidth="1"/>
    <col min="10245" max="10245" width="126.109375" style="438" customWidth="1"/>
    <col min="10246" max="10246" width="9.109375" style="438" customWidth="1"/>
    <col min="10247" max="10496" width="9.109375" style="438"/>
    <col min="10497" max="10497" width="16" style="438" customWidth="1"/>
    <col min="10498" max="10498" width="11" style="438" customWidth="1"/>
    <col min="10499" max="10499" width="14.33203125" style="438" customWidth="1"/>
    <col min="10500" max="10500" width="17.109375" style="438" customWidth="1"/>
    <col min="10501" max="10501" width="126.109375" style="438" customWidth="1"/>
    <col min="10502" max="10502" width="9.109375" style="438" customWidth="1"/>
    <col min="10503" max="10752" width="9.109375" style="438"/>
    <col min="10753" max="10753" width="16" style="438" customWidth="1"/>
    <col min="10754" max="10754" width="11" style="438" customWidth="1"/>
    <col min="10755" max="10755" width="14.33203125" style="438" customWidth="1"/>
    <col min="10756" max="10756" width="17.109375" style="438" customWidth="1"/>
    <col min="10757" max="10757" width="126.109375" style="438" customWidth="1"/>
    <col min="10758" max="10758" width="9.109375" style="438" customWidth="1"/>
    <col min="10759" max="11008" width="9.109375" style="438"/>
    <col min="11009" max="11009" width="16" style="438" customWidth="1"/>
    <col min="11010" max="11010" width="11" style="438" customWidth="1"/>
    <col min="11011" max="11011" width="14.33203125" style="438" customWidth="1"/>
    <col min="11012" max="11012" width="17.109375" style="438" customWidth="1"/>
    <col min="11013" max="11013" width="126.109375" style="438" customWidth="1"/>
    <col min="11014" max="11014" width="9.109375" style="438" customWidth="1"/>
    <col min="11015" max="11264" width="9.109375" style="438"/>
    <col min="11265" max="11265" width="16" style="438" customWidth="1"/>
    <col min="11266" max="11266" width="11" style="438" customWidth="1"/>
    <col min="11267" max="11267" width="14.33203125" style="438" customWidth="1"/>
    <col min="11268" max="11268" width="17.109375" style="438" customWidth="1"/>
    <col min="11269" max="11269" width="126.109375" style="438" customWidth="1"/>
    <col min="11270" max="11270" width="9.109375" style="438" customWidth="1"/>
    <col min="11271" max="11520" width="9.109375" style="438"/>
    <col min="11521" max="11521" width="16" style="438" customWidth="1"/>
    <col min="11522" max="11522" width="11" style="438" customWidth="1"/>
    <col min="11523" max="11523" width="14.33203125" style="438" customWidth="1"/>
    <col min="11524" max="11524" width="17.109375" style="438" customWidth="1"/>
    <col min="11525" max="11525" width="126.109375" style="438" customWidth="1"/>
    <col min="11526" max="11526" width="9.109375" style="438" customWidth="1"/>
    <col min="11527" max="11776" width="9.109375" style="438"/>
    <col min="11777" max="11777" width="16" style="438" customWidth="1"/>
    <col min="11778" max="11778" width="11" style="438" customWidth="1"/>
    <col min="11779" max="11779" width="14.33203125" style="438" customWidth="1"/>
    <col min="11780" max="11780" width="17.109375" style="438" customWidth="1"/>
    <col min="11781" max="11781" width="126.109375" style="438" customWidth="1"/>
    <col min="11782" max="11782" width="9.109375" style="438" customWidth="1"/>
    <col min="11783" max="12032" width="9.109375" style="438"/>
    <col min="12033" max="12033" width="16" style="438" customWidth="1"/>
    <col min="12034" max="12034" width="11" style="438" customWidth="1"/>
    <col min="12035" max="12035" width="14.33203125" style="438" customWidth="1"/>
    <col min="12036" max="12036" width="17.109375" style="438" customWidth="1"/>
    <col min="12037" max="12037" width="126.109375" style="438" customWidth="1"/>
    <col min="12038" max="12038" width="9.109375" style="438" customWidth="1"/>
    <col min="12039" max="12288" width="9.109375" style="438"/>
    <col min="12289" max="12289" width="16" style="438" customWidth="1"/>
    <col min="12290" max="12290" width="11" style="438" customWidth="1"/>
    <col min="12291" max="12291" width="14.33203125" style="438" customWidth="1"/>
    <col min="12292" max="12292" width="17.109375" style="438" customWidth="1"/>
    <col min="12293" max="12293" width="126.109375" style="438" customWidth="1"/>
    <col min="12294" max="12294" width="9.109375" style="438" customWidth="1"/>
    <col min="12295" max="12544" width="9.109375" style="438"/>
    <col min="12545" max="12545" width="16" style="438" customWidth="1"/>
    <col min="12546" max="12546" width="11" style="438" customWidth="1"/>
    <col min="12547" max="12547" width="14.33203125" style="438" customWidth="1"/>
    <col min="12548" max="12548" width="17.109375" style="438" customWidth="1"/>
    <col min="12549" max="12549" width="126.109375" style="438" customWidth="1"/>
    <col min="12550" max="12550" width="9.109375" style="438" customWidth="1"/>
    <col min="12551" max="12800" width="9.109375" style="438"/>
    <col min="12801" max="12801" width="16" style="438" customWidth="1"/>
    <col min="12802" max="12802" width="11" style="438" customWidth="1"/>
    <col min="12803" max="12803" width="14.33203125" style="438" customWidth="1"/>
    <col min="12804" max="12804" width="17.109375" style="438" customWidth="1"/>
    <col min="12805" max="12805" width="126.109375" style="438" customWidth="1"/>
    <col min="12806" max="12806" width="9.109375" style="438" customWidth="1"/>
    <col min="12807" max="13056" width="9.109375" style="438"/>
    <col min="13057" max="13057" width="16" style="438" customWidth="1"/>
    <col min="13058" max="13058" width="11" style="438" customWidth="1"/>
    <col min="13059" max="13059" width="14.33203125" style="438" customWidth="1"/>
    <col min="13060" max="13060" width="17.109375" style="438" customWidth="1"/>
    <col min="13061" max="13061" width="126.109375" style="438" customWidth="1"/>
    <col min="13062" max="13062" width="9.109375" style="438" customWidth="1"/>
    <col min="13063" max="13312" width="9.109375" style="438"/>
    <col min="13313" max="13313" width="16" style="438" customWidth="1"/>
    <col min="13314" max="13314" width="11" style="438" customWidth="1"/>
    <col min="13315" max="13315" width="14.33203125" style="438" customWidth="1"/>
    <col min="13316" max="13316" width="17.109375" style="438" customWidth="1"/>
    <col min="13317" max="13317" width="126.109375" style="438" customWidth="1"/>
    <col min="13318" max="13318" width="9.109375" style="438" customWidth="1"/>
    <col min="13319" max="13568" width="9.109375" style="438"/>
    <col min="13569" max="13569" width="16" style="438" customWidth="1"/>
    <col min="13570" max="13570" width="11" style="438" customWidth="1"/>
    <col min="13571" max="13571" width="14.33203125" style="438" customWidth="1"/>
    <col min="13572" max="13572" width="17.109375" style="438" customWidth="1"/>
    <col min="13573" max="13573" width="126.109375" style="438" customWidth="1"/>
    <col min="13574" max="13574" width="9.109375" style="438" customWidth="1"/>
    <col min="13575" max="13824" width="9.109375" style="438"/>
    <col min="13825" max="13825" width="16" style="438" customWidth="1"/>
    <col min="13826" max="13826" width="11" style="438" customWidth="1"/>
    <col min="13827" max="13827" width="14.33203125" style="438" customWidth="1"/>
    <col min="13828" max="13828" width="17.109375" style="438" customWidth="1"/>
    <col min="13829" max="13829" width="126.109375" style="438" customWidth="1"/>
    <col min="13830" max="13830" width="9.109375" style="438" customWidth="1"/>
    <col min="13831" max="14080" width="9.109375" style="438"/>
    <col min="14081" max="14081" width="16" style="438" customWidth="1"/>
    <col min="14082" max="14082" width="11" style="438" customWidth="1"/>
    <col min="14083" max="14083" width="14.33203125" style="438" customWidth="1"/>
    <col min="14084" max="14084" width="17.109375" style="438" customWidth="1"/>
    <col min="14085" max="14085" width="126.109375" style="438" customWidth="1"/>
    <col min="14086" max="14086" width="9.109375" style="438" customWidth="1"/>
    <col min="14087" max="14336" width="9.109375" style="438"/>
    <col min="14337" max="14337" width="16" style="438" customWidth="1"/>
    <col min="14338" max="14338" width="11" style="438" customWidth="1"/>
    <col min="14339" max="14339" width="14.33203125" style="438" customWidth="1"/>
    <col min="14340" max="14340" width="17.109375" style="438" customWidth="1"/>
    <col min="14341" max="14341" width="126.109375" style="438" customWidth="1"/>
    <col min="14342" max="14342" width="9.109375" style="438" customWidth="1"/>
    <col min="14343" max="14592" width="9.109375" style="438"/>
    <col min="14593" max="14593" width="16" style="438" customWidth="1"/>
    <col min="14594" max="14594" width="11" style="438" customWidth="1"/>
    <col min="14595" max="14595" width="14.33203125" style="438" customWidth="1"/>
    <col min="14596" max="14596" width="17.109375" style="438" customWidth="1"/>
    <col min="14597" max="14597" width="126.109375" style="438" customWidth="1"/>
    <col min="14598" max="14598" width="9.109375" style="438" customWidth="1"/>
    <col min="14599" max="14848" width="9.109375" style="438"/>
    <col min="14849" max="14849" width="16" style="438" customWidth="1"/>
    <col min="14850" max="14850" width="11" style="438" customWidth="1"/>
    <col min="14851" max="14851" width="14.33203125" style="438" customWidth="1"/>
    <col min="14852" max="14852" width="17.109375" style="438" customWidth="1"/>
    <col min="14853" max="14853" width="126.109375" style="438" customWidth="1"/>
    <col min="14854" max="14854" width="9.109375" style="438" customWidth="1"/>
    <col min="14855" max="15104" width="9.109375" style="438"/>
    <col min="15105" max="15105" width="16" style="438" customWidth="1"/>
    <col min="15106" max="15106" width="11" style="438" customWidth="1"/>
    <col min="15107" max="15107" width="14.33203125" style="438" customWidth="1"/>
    <col min="15108" max="15108" width="17.109375" style="438" customWidth="1"/>
    <col min="15109" max="15109" width="126.109375" style="438" customWidth="1"/>
    <col min="15110" max="15110" width="9.109375" style="438" customWidth="1"/>
    <col min="15111" max="15360" width="9.109375" style="438"/>
    <col min="15361" max="15361" width="16" style="438" customWidth="1"/>
    <col min="15362" max="15362" width="11" style="438" customWidth="1"/>
    <col min="15363" max="15363" width="14.33203125" style="438" customWidth="1"/>
    <col min="15364" max="15364" width="17.109375" style="438" customWidth="1"/>
    <col min="15365" max="15365" width="126.109375" style="438" customWidth="1"/>
    <col min="15366" max="15366" width="9.109375" style="438" customWidth="1"/>
    <col min="15367" max="15616" width="9.109375" style="438"/>
    <col min="15617" max="15617" width="16" style="438" customWidth="1"/>
    <col min="15618" max="15618" width="11" style="438" customWidth="1"/>
    <col min="15619" max="15619" width="14.33203125" style="438" customWidth="1"/>
    <col min="15620" max="15620" width="17.109375" style="438" customWidth="1"/>
    <col min="15621" max="15621" width="126.109375" style="438" customWidth="1"/>
    <col min="15622" max="15622" width="9.109375" style="438" customWidth="1"/>
    <col min="15623" max="15872" width="9.109375" style="438"/>
    <col min="15873" max="15873" width="16" style="438" customWidth="1"/>
    <col min="15874" max="15874" width="11" style="438" customWidth="1"/>
    <col min="15875" max="15875" width="14.33203125" style="438" customWidth="1"/>
    <col min="15876" max="15876" width="17.109375" style="438" customWidth="1"/>
    <col min="15877" max="15877" width="126.109375" style="438" customWidth="1"/>
    <col min="15878" max="15878" width="9.109375" style="438" customWidth="1"/>
    <col min="15879" max="16128" width="9.109375" style="438"/>
    <col min="16129" max="16129" width="16" style="438" customWidth="1"/>
    <col min="16130" max="16130" width="11" style="438" customWidth="1"/>
    <col min="16131" max="16131" width="14.33203125" style="438" customWidth="1"/>
    <col min="16132" max="16132" width="17.109375" style="438" customWidth="1"/>
    <col min="16133" max="16133" width="126.109375" style="438" customWidth="1"/>
    <col min="16134" max="16134" width="9.109375" style="438" customWidth="1"/>
    <col min="16135" max="16384" width="9.109375" style="438"/>
  </cols>
  <sheetData>
    <row r="1" spans="1:5" ht="33.75" customHeight="1" x14ac:dyDescent="0.3">
      <c r="A1" s="433"/>
      <c r="B1" s="434"/>
      <c r="C1" s="435"/>
      <c r="D1" s="436"/>
      <c r="E1" s="437" t="s">
        <v>1028</v>
      </c>
    </row>
    <row r="2" spans="1:5" ht="37.5" customHeight="1" x14ac:dyDescent="0.3">
      <c r="A2" s="959" t="s">
        <v>786</v>
      </c>
      <c r="B2" s="959"/>
      <c r="C2" s="959"/>
      <c r="D2" s="959"/>
      <c r="E2" s="959"/>
    </row>
    <row r="3" spans="1:5" ht="15" customHeight="1" x14ac:dyDescent="0.3">
      <c r="A3" s="960" t="s">
        <v>648</v>
      </c>
      <c r="B3" s="961"/>
      <c r="C3" s="961"/>
      <c r="D3" s="961"/>
      <c r="E3" s="961"/>
    </row>
    <row r="4" spans="1:5" ht="16.5" customHeight="1" thickBot="1" x14ac:dyDescent="0.35">
      <c r="A4" s="962" t="s">
        <v>570</v>
      </c>
      <c r="B4" s="962"/>
      <c r="C4" s="962"/>
      <c r="D4" s="439"/>
      <c r="E4" s="439"/>
    </row>
    <row r="5" spans="1:5" ht="16.5" hidden="1" customHeight="1" thickBot="1" x14ac:dyDescent="0.35">
      <c r="A5" s="963" t="s">
        <v>571</v>
      </c>
      <c r="B5" s="964"/>
      <c r="C5" s="964"/>
      <c r="D5" s="439"/>
      <c r="E5" s="439"/>
    </row>
    <row r="6" spans="1:5" s="445" customFormat="1" ht="63.75" customHeight="1" thickBot="1" x14ac:dyDescent="0.35">
      <c r="A6" s="440" t="s">
        <v>572</v>
      </c>
      <c r="B6" s="441" t="s">
        <v>573</v>
      </c>
      <c r="C6" s="442" t="s">
        <v>574</v>
      </c>
      <c r="D6" s="443" t="s">
        <v>575</v>
      </c>
      <c r="E6" s="444" t="s">
        <v>576</v>
      </c>
    </row>
    <row r="7" spans="1:5" s="445" customFormat="1" ht="78.599999999999994" hidden="1" customHeight="1" thickBot="1" x14ac:dyDescent="0.35">
      <c r="A7" s="756" t="s">
        <v>577</v>
      </c>
      <c r="B7" s="757" t="s">
        <v>17</v>
      </c>
      <c r="C7" s="758"/>
      <c r="D7" s="759" t="s">
        <v>788</v>
      </c>
      <c r="E7" s="474" t="s">
        <v>798</v>
      </c>
    </row>
    <row r="8" spans="1:5" s="445" customFormat="1" ht="46.8" x14ac:dyDescent="0.3">
      <c r="A8" s="762" t="s">
        <v>577</v>
      </c>
      <c r="B8" s="763" t="s">
        <v>17</v>
      </c>
      <c r="C8" s="764">
        <v>50000</v>
      </c>
      <c r="D8" s="487" t="s">
        <v>835</v>
      </c>
      <c r="E8" s="765" t="s">
        <v>1003</v>
      </c>
    </row>
    <row r="9" spans="1:5" s="449" customFormat="1" ht="94.5" hidden="1" customHeight="1" x14ac:dyDescent="0.3">
      <c r="A9" s="682" t="s">
        <v>577</v>
      </c>
      <c r="B9" s="745" t="s">
        <v>17</v>
      </c>
      <c r="C9" s="487"/>
      <c r="D9" s="487" t="s">
        <v>701</v>
      </c>
      <c r="E9" s="488" t="s">
        <v>734</v>
      </c>
    </row>
    <row r="10" spans="1:5" s="449" customFormat="1" ht="81.599999999999994" hidden="1" customHeight="1" x14ac:dyDescent="0.3">
      <c r="A10" s="682" t="s">
        <v>577</v>
      </c>
      <c r="B10" s="745" t="s">
        <v>17</v>
      </c>
      <c r="C10" s="487"/>
      <c r="D10" s="487" t="s">
        <v>775</v>
      </c>
      <c r="E10" s="488" t="s">
        <v>774</v>
      </c>
    </row>
    <row r="11" spans="1:5" s="449" customFormat="1" ht="46.8" x14ac:dyDescent="0.3">
      <c r="A11" s="682" t="s">
        <v>577</v>
      </c>
      <c r="B11" s="745" t="s">
        <v>23</v>
      </c>
      <c r="C11" s="487">
        <v>30000</v>
      </c>
      <c r="D11" s="487" t="s">
        <v>998</v>
      </c>
      <c r="E11" s="488" t="s">
        <v>1038</v>
      </c>
    </row>
    <row r="12" spans="1:5" s="449" customFormat="1" ht="46.8" x14ac:dyDescent="0.3">
      <c r="A12" s="693" t="s">
        <v>577</v>
      </c>
      <c r="B12" s="751" t="s">
        <v>23</v>
      </c>
      <c r="C12" s="753">
        <v>30000</v>
      </c>
      <c r="D12" s="753" t="s">
        <v>998</v>
      </c>
      <c r="E12" s="512" t="s">
        <v>1004</v>
      </c>
    </row>
    <row r="13" spans="1:5" s="449" customFormat="1" ht="46.8" x14ac:dyDescent="0.3">
      <c r="A13" s="693" t="s">
        <v>577</v>
      </c>
      <c r="B13" s="751" t="s">
        <v>23</v>
      </c>
      <c r="C13" s="753">
        <v>19910</v>
      </c>
      <c r="D13" s="753" t="s">
        <v>998</v>
      </c>
      <c r="E13" s="512" t="s">
        <v>1005</v>
      </c>
    </row>
    <row r="14" spans="1:5" s="449" customFormat="1" ht="87.75" hidden="1" customHeight="1" x14ac:dyDescent="0.3">
      <c r="A14" s="682" t="s">
        <v>577</v>
      </c>
      <c r="B14" s="745" t="s">
        <v>23</v>
      </c>
      <c r="C14" s="487"/>
      <c r="D14" s="487" t="s">
        <v>765</v>
      </c>
      <c r="E14" s="512" t="s">
        <v>758</v>
      </c>
    </row>
    <row r="15" spans="1:5" s="449" customFormat="1" ht="88.2" hidden="1" customHeight="1" x14ac:dyDescent="0.3">
      <c r="A15" s="682" t="s">
        <v>577</v>
      </c>
      <c r="B15" s="745" t="s">
        <v>23</v>
      </c>
      <c r="C15" s="487"/>
      <c r="D15" s="487" t="s">
        <v>788</v>
      </c>
      <c r="E15" s="488" t="s">
        <v>801</v>
      </c>
    </row>
    <row r="16" spans="1:5" s="449" customFormat="1" ht="110.25" hidden="1" customHeight="1" x14ac:dyDescent="0.3">
      <c r="A16" s="682" t="s">
        <v>577</v>
      </c>
      <c r="B16" s="745" t="s">
        <v>400</v>
      </c>
      <c r="C16" s="487"/>
      <c r="D16" s="487" t="s">
        <v>701</v>
      </c>
      <c r="E16" s="488" t="s">
        <v>722</v>
      </c>
    </row>
    <row r="17" spans="1:5" s="449" customFormat="1" ht="110.25" hidden="1" customHeight="1" x14ac:dyDescent="0.3">
      <c r="A17" s="682" t="s">
        <v>618</v>
      </c>
      <c r="B17" s="745" t="s">
        <v>700</v>
      </c>
      <c r="C17" s="487"/>
      <c r="D17" s="487" t="s">
        <v>701</v>
      </c>
      <c r="E17" s="488" t="s">
        <v>723</v>
      </c>
    </row>
    <row r="18" spans="1:5" s="449" customFormat="1" ht="94.5" hidden="1" customHeight="1" x14ac:dyDescent="0.3">
      <c r="A18" s="682" t="s">
        <v>577</v>
      </c>
      <c r="B18" s="745" t="s">
        <v>27</v>
      </c>
      <c r="C18" s="487"/>
      <c r="D18" s="487" t="s">
        <v>701</v>
      </c>
      <c r="E18" s="488" t="s">
        <v>724</v>
      </c>
    </row>
    <row r="19" spans="1:5" s="449" customFormat="1" ht="94.5" hidden="1" customHeight="1" x14ac:dyDescent="0.3">
      <c r="A19" s="682" t="s">
        <v>618</v>
      </c>
      <c r="B19" s="745" t="s">
        <v>705</v>
      </c>
      <c r="C19" s="487"/>
      <c r="D19" s="487" t="s">
        <v>701</v>
      </c>
      <c r="E19" s="488" t="s">
        <v>725</v>
      </c>
    </row>
    <row r="20" spans="1:5" s="449" customFormat="1" ht="173.25" hidden="1" customHeight="1" x14ac:dyDescent="0.3">
      <c r="A20" s="682" t="s">
        <v>577</v>
      </c>
      <c r="B20" s="745" t="s">
        <v>33</v>
      </c>
      <c r="C20" s="738"/>
      <c r="D20" s="487" t="s">
        <v>768</v>
      </c>
      <c r="E20" s="512" t="s">
        <v>767</v>
      </c>
    </row>
    <row r="21" spans="1:5" s="449" customFormat="1" ht="171.6" hidden="1" x14ac:dyDescent="0.3">
      <c r="A21" s="682" t="s">
        <v>618</v>
      </c>
      <c r="B21" s="745" t="s">
        <v>703</v>
      </c>
      <c r="C21" s="738"/>
      <c r="D21" s="487" t="s">
        <v>768</v>
      </c>
      <c r="E21" s="512" t="s">
        <v>767</v>
      </c>
    </row>
    <row r="22" spans="1:5" s="449" customFormat="1" ht="46.8" x14ac:dyDescent="0.3">
      <c r="A22" s="682" t="s">
        <v>577</v>
      </c>
      <c r="B22" s="747" t="s">
        <v>59</v>
      </c>
      <c r="C22" s="487">
        <v>50000</v>
      </c>
      <c r="D22" s="753" t="s">
        <v>998</v>
      </c>
      <c r="E22" s="512" t="s">
        <v>1006</v>
      </c>
    </row>
    <row r="23" spans="1:5" s="449" customFormat="1" ht="15.6" hidden="1" x14ac:dyDescent="0.3">
      <c r="A23" s="682"/>
      <c r="B23" s="747"/>
      <c r="C23" s="487"/>
      <c r="D23" s="487"/>
      <c r="E23" s="512"/>
    </row>
    <row r="24" spans="1:5" s="449" customFormat="1" ht="94.5" hidden="1" customHeight="1" x14ac:dyDescent="0.3">
      <c r="A24" s="682" t="s">
        <v>577</v>
      </c>
      <c r="B24" s="747" t="s">
        <v>46</v>
      </c>
      <c r="C24" s="487"/>
      <c r="D24" s="487" t="s">
        <v>701</v>
      </c>
      <c r="E24" s="488" t="s">
        <v>726</v>
      </c>
    </row>
    <row r="25" spans="1:5" s="449" customFormat="1" ht="15.6" hidden="1" x14ac:dyDescent="0.3">
      <c r="A25" s="682"/>
      <c r="B25" s="747"/>
      <c r="C25" s="487"/>
      <c r="D25" s="487"/>
      <c r="E25" s="488"/>
    </row>
    <row r="26" spans="1:5" s="449" customFormat="1" ht="121.5" hidden="1" customHeight="1" x14ac:dyDescent="0.3">
      <c r="A26" s="682" t="s">
        <v>577</v>
      </c>
      <c r="B26" s="747" t="s">
        <v>51</v>
      </c>
      <c r="C26" s="753"/>
      <c r="D26" s="487" t="s">
        <v>770</v>
      </c>
      <c r="E26" s="512" t="s">
        <v>769</v>
      </c>
    </row>
    <row r="27" spans="1:5" s="449" customFormat="1" ht="15.6" hidden="1" x14ac:dyDescent="0.3">
      <c r="A27" s="682"/>
      <c r="B27" s="747"/>
      <c r="C27" s="753"/>
      <c r="D27" s="487"/>
      <c r="E27" s="512"/>
    </row>
    <row r="28" spans="1:5" s="449" customFormat="1" ht="15.6" hidden="1" x14ac:dyDescent="0.3">
      <c r="A28" s="682"/>
      <c r="B28" s="747"/>
      <c r="C28" s="753"/>
      <c r="D28" s="487"/>
      <c r="E28" s="512"/>
    </row>
    <row r="29" spans="1:5" s="449" customFormat="1" ht="15.6" hidden="1" x14ac:dyDescent="0.3">
      <c r="A29" s="682"/>
      <c r="B29" s="747"/>
      <c r="C29" s="753"/>
      <c r="D29" s="487"/>
      <c r="E29" s="512"/>
    </row>
    <row r="30" spans="1:5" s="449" customFormat="1" ht="15.6" hidden="1" x14ac:dyDescent="0.3">
      <c r="A30" s="682"/>
      <c r="B30" s="747"/>
      <c r="C30" s="487"/>
      <c r="D30" s="487"/>
      <c r="E30" s="512"/>
    </row>
    <row r="31" spans="1:5" s="449" customFormat="1" ht="15.6" hidden="1" x14ac:dyDescent="0.3">
      <c r="A31" s="766"/>
      <c r="B31" s="747"/>
      <c r="C31" s="487"/>
      <c r="D31" s="487"/>
      <c r="E31" s="512"/>
    </row>
    <row r="32" spans="1:5" s="449" customFormat="1" ht="15.6" hidden="1" x14ac:dyDescent="0.3">
      <c r="A32" s="682"/>
      <c r="B32" s="745"/>
      <c r="C32" s="487"/>
      <c r="D32" s="487"/>
      <c r="E32" s="512"/>
    </row>
    <row r="33" spans="1:5" s="449" customFormat="1" ht="15.6" hidden="1" x14ac:dyDescent="0.3">
      <c r="A33" s="682"/>
      <c r="B33" s="745"/>
      <c r="C33" s="487"/>
      <c r="D33" s="487"/>
      <c r="E33" s="512"/>
    </row>
    <row r="34" spans="1:5" s="449" customFormat="1" ht="47.25" hidden="1" customHeight="1" x14ac:dyDescent="0.3">
      <c r="A34" s="682" t="s">
        <v>577</v>
      </c>
      <c r="B34" s="745" t="s">
        <v>63</v>
      </c>
      <c r="C34" s="487"/>
      <c r="D34" s="487" t="s">
        <v>580</v>
      </c>
      <c r="E34" s="748" t="s">
        <v>581</v>
      </c>
    </row>
    <row r="35" spans="1:5" s="449" customFormat="1" ht="78.75" hidden="1" customHeight="1" x14ac:dyDescent="0.3">
      <c r="A35" s="682" t="s">
        <v>577</v>
      </c>
      <c r="B35" s="745" t="s">
        <v>63</v>
      </c>
      <c r="C35" s="487"/>
      <c r="D35" s="746" t="s">
        <v>579</v>
      </c>
      <c r="E35" s="749" t="s">
        <v>582</v>
      </c>
    </row>
    <row r="36" spans="1:5" s="449" customFormat="1" ht="31.5" hidden="1" customHeight="1" x14ac:dyDescent="0.3">
      <c r="A36" s="682" t="s">
        <v>577</v>
      </c>
      <c r="B36" s="745" t="s">
        <v>75</v>
      </c>
      <c r="C36" s="487"/>
      <c r="D36" s="487" t="s">
        <v>583</v>
      </c>
      <c r="E36" s="749" t="s">
        <v>584</v>
      </c>
    </row>
    <row r="37" spans="1:5" s="449" customFormat="1" ht="63" hidden="1" customHeight="1" x14ac:dyDescent="0.3">
      <c r="A37" s="682" t="s">
        <v>577</v>
      </c>
      <c r="B37" s="745" t="s">
        <v>75</v>
      </c>
      <c r="C37" s="487"/>
      <c r="D37" s="487" t="s">
        <v>880</v>
      </c>
      <c r="E37" s="488" t="s">
        <v>910</v>
      </c>
    </row>
    <row r="38" spans="1:5" s="449" customFormat="1" ht="47.25" hidden="1" customHeight="1" x14ac:dyDescent="0.3">
      <c r="A38" s="682" t="s">
        <v>577</v>
      </c>
      <c r="B38" s="745" t="s">
        <v>75</v>
      </c>
      <c r="C38" s="487"/>
      <c r="D38" s="487" t="s">
        <v>880</v>
      </c>
      <c r="E38" s="488" t="s">
        <v>911</v>
      </c>
    </row>
    <row r="39" spans="1:5" s="449" customFormat="1" ht="76.8" customHeight="1" x14ac:dyDescent="0.3">
      <c r="A39" s="682" t="s">
        <v>577</v>
      </c>
      <c r="B39" s="745" t="s">
        <v>78</v>
      </c>
      <c r="C39" s="739">
        <v>60000</v>
      </c>
      <c r="D39" s="746" t="s">
        <v>881</v>
      </c>
      <c r="E39" s="488" t="s">
        <v>1010</v>
      </c>
    </row>
    <row r="40" spans="1:5" s="449" customFormat="1" ht="84" hidden="1" customHeight="1" x14ac:dyDescent="0.3">
      <c r="A40" s="682" t="s">
        <v>577</v>
      </c>
      <c r="B40" s="745" t="s">
        <v>78</v>
      </c>
      <c r="C40" s="739"/>
      <c r="D40" s="746" t="s">
        <v>829</v>
      </c>
      <c r="E40" s="488" t="s">
        <v>855</v>
      </c>
    </row>
    <row r="41" spans="1:5" s="449" customFormat="1" ht="61.8" hidden="1" customHeight="1" x14ac:dyDescent="0.3">
      <c r="A41" s="682" t="s">
        <v>577</v>
      </c>
      <c r="B41" s="745" t="s">
        <v>78</v>
      </c>
      <c r="C41" s="739"/>
      <c r="D41" s="809" t="s">
        <v>882</v>
      </c>
      <c r="E41" s="488" t="s">
        <v>918</v>
      </c>
    </row>
    <row r="42" spans="1:5" s="449" customFormat="1" ht="45" customHeight="1" x14ac:dyDescent="0.3">
      <c r="A42" s="682" t="s">
        <v>577</v>
      </c>
      <c r="B42" s="745" t="s">
        <v>84</v>
      </c>
      <c r="C42" s="739">
        <v>49000</v>
      </c>
      <c r="D42" s="626" t="s">
        <v>1000</v>
      </c>
      <c r="E42" s="488" t="s">
        <v>1064</v>
      </c>
    </row>
    <row r="43" spans="1:5" s="449" customFormat="1" ht="46.8" hidden="1" x14ac:dyDescent="0.3">
      <c r="A43" s="682" t="s">
        <v>577</v>
      </c>
      <c r="B43" s="745" t="s">
        <v>585</v>
      </c>
      <c r="C43" s="487"/>
      <c r="D43" s="809" t="s">
        <v>828</v>
      </c>
      <c r="E43" s="488" t="s">
        <v>867</v>
      </c>
    </row>
    <row r="44" spans="1:5" s="449" customFormat="1" ht="79.2" customHeight="1" x14ac:dyDescent="0.3">
      <c r="A44" s="682" t="s">
        <v>577</v>
      </c>
      <c r="B44" s="745" t="s">
        <v>585</v>
      </c>
      <c r="C44" s="487">
        <v>169000</v>
      </c>
      <c r="D44" s="809" t="s">
        <v>1007</v>
      </c>
      <c r="E44" s="488" t="s">
        <v>1016</v>
      </c>
    </row>
    <row r="45" spans="1:5" s="449" customFormat="1" ht="68.400000000000006" hidden="1" customHeight="1" x14ac:dyDescent="0.3">
      <c r="A45" s="682" t="s">
        <v>577</v>
      </c>
      <c r="B45" s="745" t="s">
        <v>87</v>
      </c>
      <c r="C45" s="487"/>
      <c r="D45" s="487" t="s">
        <v>879</v>
      </c>
      <c r="E45" s="488" t="s">
        <v>919</v>
      </c>
    </row>
    <row r="46" spans="1:5" s="449" customFormat="1" ht="39.6" hidden="1" customHeight="1" x14ac:dyDescent="0.3">
      <c r="A46" s="682" t="s">
        <v>577</v>
      </c>
      <c r="B46" s="745" t="s">
        <v>87</v>
      </c>
      <c r="C46" s="487"/>
      <c r="D46" s="487" t="s">
        <v>879</v>
      </c>
      <c r="E46" s="698" t="s">
        <v>903</v>
      </c>
    </row>
    <row r="47" spans="1:5" s="449" customFormat="1" ht="89.4" hidden="1" customHeight="1" x14ac:dyDescent="0.3">
      <c r="A47" s="693" t="s">
        <v>577</v>
      </c>
      <c r="B47" s="751" t="s">
        <v>87</v>
      </c>
      <c r="C47" s="487"/>
      <c r="D47" s="487" t="s">
        <v>906</v>
      </c>
      <c r="E47" s="698" t="s">
        <v>912</v>
      </c>
    </row>
    <row r="48" spans="1:5" s="449" customFormat="1" ht="59.4" customHeight="1" x14ac:dyDescent="0.3">
      <c r="A48" s="682" t="s">
        <v>577</v>
      </c>
      <c r="B48" s="745" t="s">
        <v>87</v>
      </c>
      <c r="C48" s="487">
        <v>48000</v>
      </c>
      <c r="D48" s="487" t="s">
        <v>1000</v>
      </c>
      <c r="E48" s="488" t="s">
        <v>1068</v>
      </c>
    </row>
    <row r="49" spans="1:6" s="449" customFormat="1" ht="76.8" customHeight="1" x14ac:dyDescent="0.3">
      <c r="A49" s="682" t="s">
        <v>577</v>
      </c>
      <c r="B49" s="751" t="s">
        <v>87</v>
      </c>
      <c r="C49" s="487">
        <v>960</v>
      </c>
      <c r="D49" s="487" t="s">
        <v>992</v>
      </c>
      <c r="E49" s="698" t="s">
        <v>1037</v>
      </c>
    </row>
    <row r="50" spans="1:6" s="449" customFormat="1" ht="63" customHeight="1" x14ac:dyDescent="0.3">
      <c r="A50" s="682" t="s">
        <v>577</v>
      </c>
      <c r="B50" s="745" t="s">
        <v>87</v>
      </c>
      <c r="C50" s="487">
        <v>49000</v>
      </c>
      <c r="D50" s="487" t="s">
        <v>1000</v>
      </c>
      <c r="E50" s="488" t="s">
        <v>1067</v>
      </c>
    </row>
    <row r="51" spans="1:6" s="449" customFormat="1" ht="60" customHeight="1" x14ac:dyDescent="0.3">
      <c r="A51" s="682" t="s">
        <v>577</v>
      </c>
      <c r="B51" s="745" t="s">
        <v>87</v>
      </c>
      <c r="C51" s="487">
        <v>49000</v>
      </c>
      <c r="D51" s="487" t="s">
        <v>1000</v>
      </c>
      <c r="E51" s="488" t="s">
        <v>1065</v>
      </c>
    </row>
    <row r="52" spans="1:6" s="449" customFormat="1" ht="42" hidden="1" customHeight="1" x14ac:dyDescent="0.3">
      <c r="A52" s="682" t="s">
        <v>577</v>
      </c>
      <c r="B52" s="745" t="s">
        <v>87</v>
      </c>
      <c r="C52" s="487"/>
      <c r="D52" s="784" t="s">
        <v>788</v>
      </c>
      <c r="E52" s="695" t="s">
        <v>791</v>
      </c>
    </row>
    <row r="53" spans="1:6" s="449" customFormat="1" ht="45" hidden="1" customHeight="1" x14ac:dyDescent="0.3">
      <c r="A53" s="682" t="s">
        <v>577</v>
      </c>
      <c r="B53" s="751" t="s">
        <v>87</v>
      </c>
      <c r="C53" s="753"/>
      <c r="D53" s="784" t="s">
        <v>788</v>
      </c>
      <c r="E53" s="488" t="s">
        <v>792</v>
      </c>
      <c r="F53" s="449">
        <v>49601</v>
      </c>
    </row>
    <row r="54" spans="1:6" s="449" customFormat="1" ht="62.4" hidden="1" customHeight="1" x14ac:dyDescent="0.3">
      <c r="A54" s="682" t="s">
        <v>577</v>
      </c>
      <c r="B54" s="745" t="s">
        <v>790</v>
      </c>
      <c r="C54" s="754"/>
      <c r="D54" s="784" t="s">
        <v>788</v>
      </c>
      <c r="E54" s="488" t="s">
        <v>800</v>
      </c>
    </row>
    <row r="55" spans="1:6" s="449" customFormat="1" ht="31.5" hidden="1" customHeight="1" x14ac:dyDescent="0.3">
      <c r="A55" s="682" t="s">
        <v>577</v>
      </c>
      <c r="B55" s="745" t="s">
        <v>87</v>
      </c>
      <c r="C55" s="487"/>
      <c r="D55" s="784" t="s">
        <v>788</v>
      </c>
      <c r="E55" s="488" t="s">
        <v>664</v>
      </c>
    </row>
    <row r="56" spans="1:6" s="449" customFormat="1" ht="31.5" hidden="1" customHeight="1" x14ac:dyDescent="0.3">
      <c r="A56" s="682" t="s">
        <v>577</v>
      </c>
      <c r="B56" s="745" t="s">
        <v>87</v>
      </c>
      <c r="C56" s="487"/>
      <c r="D56" s="784" t="s">
        <v>647</v>
      </c>
      <c r="E56" s="488" t="s">
        <v>665</v>
      </c>
    </row>
    <row r="57" spans="1:6" s="449" customFormat="1" ht="67.2" hidden="1" customHeight="1" x14ac:dyDescent="0.3">
      <c r="A57" s="682" t="s">
        <v>577</v>
      </c>
      <c r="B57" s="745" t="s">
        <v>87</v>
      </c>
      <c r="C57" s="487"/>
      <c r="D57" s="784" t="s">
        <v>647</v>
      </c>
      <c r="E57" s="488" t="s">
        <v>905</v>
      </c>
    </row>
    <row r="58" spans="1:6" s="449" customFormat="1" ht="15.75" hidden="1" customHeight="1" x14ac:dyDescent="0.3">
      <c r="A58" s="682" t="s">
        <v>577</v>
      </c>
      <c r="B58" s="745"/>
      <c r="C58" s="487"/>
      <c r="D58" s="784"/>
      <c r="E58" s="488"/>
    </row>
    <row r="59" spans="1:6" s="449" customFormat="1" ht="63" hidden="1" customHeight="1" x14ac:dyDescent="0.3">
      <c r="A59" s="682" t="s">
        <v>577</v>
      </c>
      <c r="B59" s="745" t="s">
        <v>587</v>
      </c>
      <c r="C59" s="487"/>
      <c r="D59" s="784" t="s">
        <v>580</v>
      </c>
      <c r="E59" s="488" t="s">
        <v>588</v>
      </c>
    </row>
    <row r="60" spans="1:6" s="449" customFormat="1" ht="15.75" hidden="1" customHeight="1" x14ac:dyDescent="0.3">
      <c r="A60" s="682" t="s">
        <v>577</v>
      </c>
      <c r="B60" s="745" t="s">
        <v>96</v>
      </c>
      <c r="C60" s="487"/>
      <c r="D60" s="784" t="s">
        <v>580</v>
      </c>
      <c r="E60" s="749" t="s">
        <v>589</v>
      </c>
    </row>
    <row r="61" spans="1:6" s="449" customFormat="1" ht="63" hidden="1" customHeight="1" x14ac:dyDescent="0.3">
      <c r="A61" s="682" t="s">
        <v>577</v>
      </c>
      <c r="B61" s="745" t="s">
        <v>96</v>
      </c>
      <c r="C61" s="487"/>
      <c r="D61" s="784" t="s">
        <v>580</v>
      </c>
      <c r="E61" s="488" t="s">
        <v>590</v>
      </c>
    </row>
    <row r="62" spans="1:6" s="459" customFormat="1" ht="63" hidden="1" customHeight="1" x14ac:dyDescent="0.3">
      <c r="A62" s="682" t="s">
        <v>577</v>
      </c>
      <c r="B62" s="745" t="s">
        <v>96</v>
      </c>
      <c r="C62" s="487"/>
      <c r="D62" s="784" t="s">
        <v>580</v>
      </c>
      <c r="E62" s="488" t="s">
        <v>591</v>
      </c>
    </row>
    <row r="63" spans="1:6" s="459" customFormat="1" ht="78.75" hidden="1" customHeight="1" x14ac:dyDescent="0.3">
      <c r="A63" s="682" t="s">
        <v>577</v>
      </c>
      <c r="B63" s="745" t="s">
        <v>96</v>
      </c>
      <c r="C63" s="487"/>
      <c r="D63" s="784" t="s">
        <v>578</v>
      </c>
      <c r="E63" s="488" t="s">
        <v>649</v>
      </c>
    </row>
    <row r="64" spans="1:6" s="459" customFormat="1" ht="49.8" customHeight="1" x14ac:dyDescent="0.3">
      <c r="A64" s="682" t="s">
        <v>577</v>
      </c>
      <c r="B64" s="745" t="s">
        <v>104</v>
      </c>
      <c r="C64" s="626">
        <f>2357089-49000-49000-9000</f>
        <v>2250089</v>
      </c>
      <c r="D64" s="626" t="s">
        <v>1008</v>
      </c>
      <c r="E64" s="838" t="s">
        <v>1066</v>
      </c>
    </row>
    <row r="65" spans="1:6" s="459" customFormat="1" ht="47.4" hidden="1" customHeight="1" x14ac:dyDescent="0.3">
      <c r="A65" s="682" t="s">
        <v>577</v>
      </c>
      <c r="B65" s="745" t="s">
        <v>104</v>
      </c>
      <c r="C65" s="487"/>
      <c r="D65" s="784" t="s">
        <v>795</v>
      </c>
      <c r="E65" s="488" t="s">
        <v>787</v>
      </c>
    </row>
    <row r="66" spans="1:6" s="459" customFormat="1" ht="82.2" hidden="1" customHeight="1" x14ac:dyDescent="0.3">
      <c r="A66" s="682" t="s">
        <v>577</v>
      </c>
      <c r="B66" s="745" t="s">
        <v>104</v>
      </c>
      <c r="C66" s="487"/>
      <c r="D66" s="487" t="s">
        <v>845</v>
      </c>
      <c r="E66" s="488" t="s">
        <v>862</v>
      </c>
    </row>
    <row r="67" spans="1:6" s="449" customFormat="1" ht="85.95" hidden="1" customHeight="1" x14ac:dyDescent="0.3">
      <c r="A67" s="682" t="s">
        <v>577</v>
      </c>
      <c r="B67" s="745" t="s">
        <v>104</v>
      </c>
      <c r="C67" s="487"/>
      <c r="D67" s="487" t="s">
        <v>839</v>
      </c>
      <c r="E67" s="488" t="s">
        <v>826</v>
      </c>
    </row>
    <row r="68" spans="1:6" s="449" customFormat="1" ht="71.400000000000006" hidden="1" customHeight="1" x14ac:dyDescent="0.3">
      <c r="A68" s="682" t="s">
        <v>577</v>
      </c>
      <c r="B68" s="745" t="s">
        <v>104</v>
      </c>
      <c r="C68" s="487"/>
      <c r="D68" s="487" t="s">
        <v>795</v>
      </c>
      <c r="E68" s="488" t="s">
        <v>827</v>
      </c>
    </row>
    <row r="69" spans="1:6" s="449" customFormat="1" ht="51" hidden="1" customHeight="1" x14ac:dyDescent="0.3">
      <c r="A69" s="682" t="s">
        <v>577</v>
      </c>
      <c r="B69" s="745" t="s">
        <v>104</v>
      </c>
      <c r="C69" s="487"/>
      <c r="D69" s="487" t="s">
        <v>879</v>
      </c>
      <c r="E69" s="488" t="s">
        <v>920</v>
      </c>
    </row>
    <row r="70" spans="1:6" s="449" customFormat="1" ht="53.4" customHeight="1" x14ac:dyDescent="0.3">
      <c r="A70" s="682" t="s">
        <v>577</v>
      </c>
      <c r="B70" s="818" t="s">
        <v>790</v>
      </c>
      <c r="C70" s="754">
        <f>281000-128000</f>
        <v>153000</v>
      </c>
      <c r="D70" s="626" t="s">
        <v>1000</v>
      </c>
      <c r="E70" s="512" t="s">
        <v>1017</v>
      </c>
    </row>
    <row r="71" spans="1:6" s="449" customFormat="1" ht="91.2" hidden="1" customHeight="1" x14ac:dyDescent="0.3">
      <c r="A71" s="682" t="s">
        <v>577</v>
      </c>
      <c r="B71" s="745" t="s">
        <v>124</v>
      </c>
      <c r="C71" s="753"/>
      <c r="D71" s="466" t="s">
        <v>843</v>
      </c>
      <c r="E71" s="488" t="s">
        <v>844</v>
      </c>
    </row>
    <row r="72" spans="1:6" s="449" customFormat="1" ht="94.5" hidden="1" customHeight="1" x14ac:dyDescent="0.3">
      <c r="A72" s="682" t="s">
        <v>577</v>
      </c>
      <c r="B72" s="745" t="s">
        <v>137</v>
      </c>
      <c r="C72" s="753"/>
      <c r="D72" s="487" t="s">
        <v>593</v>
      </c>
      <c r="E72" s="512" t="s">
        <v>1001</v>
      </c>
    </row>
    <row r="73" spans="1:6" s="449" customFormat="1" ht="78.75" hidden="1" customHeight="1" x14ac:dyDescent="0.3">
      <c r="A73" s="682" t="s">
        <v>577</v>
      </c>
      <c r="B73" s="745" t="s">
        <v>592</v>
      </c>
      <c r="C73" s="753"/>
      <c r="D73" s="746" t="s">
        <v>594</v>
      </c>
      <c r="E73" s="512" t="s">
        <v>595</v>
      </c>
      <c r="F73" s="449">
        <v>673</v>
      </c>
    </row>
    <row r="74" spans="1:6" s="449" customFormat="1" ht="63" hidden="1" customHeight="1" x14ac:dyDescent="0.3">
      <c r="A74" s="682" t="s">
        <v>577</v>
      </c>
      <c r="B74" s="745" t="s">
        <v>592</v>
      </c>
      <c r="C74" s="753"/>
      <c r="D74" s="746" t="s">
        <v>596</v>
      </c>
      <c r="E74" s="512" t="s">
        <v>597</v>
      </c>
    </row>
    <row r="75" spans="1:6" s="449" customFormat="1" ht="47.25" hidden="1" customHeight="1" x14ac:dyDescent="0.3">
      <c r="A75" s="682" t="s">
        <v>577</v>
      </c>
      <c r="B75" s="745" t="s">
        <v>592</v>
      </c>
      <c r="C75" s="753"/>
      <c r="D75" s="746" t="s">
        <v>596</v>
      </c>
      <c r="E75" s="512" t="s">
        <v>598</v>
      </c>
    </row>
    <row r="76" spans="1:6" s="449" customFormat="1" ht="76.8" hidden="1" customHeight="1" x14ac:dyDescent="0.3">
      <c r="A76" s="682" t="s">
        <v>600</v>
      </c>
      <c r="B76" s="745" t="s">
        <v>601</v>
      </c>
      <c r="C76" s="487"/>
      <c r="D76" s="487" t="s">
        <v>807</v>
      </c>
      <c r="E76" s="488" t="s">
        <v>813</v>
      </c>
    </row>
    <row r="77" spans="1:6" s="449" customFormat="1" ht="63" hidden="1" customHeight="1" x14ac:dyDescent="0.3">
      <c r="A77" s="682" t="s">
        <v>600</v>
      </c>
      <c r="B77" s="745" t="s">
        <v>601</v>
      </c>
      <c r="C77" s="487"/>
      <c r="D77" s="487" t="s">
        <v>899</v>
      </c>
      <c r="E77" s="488" t="s">
        <v>898</v>
      </c>
    </row>
    <row r="78" spans="1:6" s="449" customFormat="1" ht="78.75" hidden="1" customHeight="1" x14ac:dyDescent="0.3">
      <c r="A78" s="682" t="s">
        <v>600</v>
      </c>
      <c r="B78" s="745" t="s">
        <v>601</v>
      </c>
      <c r="C78" s="487"/>
      <c r="D78" s="746" t="s">
        <v>899</v>
      </c>
      <c r="E78" s="512" t="s">
        <v>897</v>
      </c>
    </row>
    <row r="79" spans="1:6" s="449" customFormat="1" ht="47.25" hidden="1" customHeight="1" x14ac:dyDescent="0.3">
      <c r="A79" s="682" t="s">
        <v>600</v>
      </c>
      <c r="B79" s="745" t="s">
        <v>601</v>
      </c>
      <c r="C79" s="487"/>
      <c r="D79" s="487" t="s">
        <v>886</v>
      </c>
      <c r="E79" s="512" t="s">
        <v>921</v>
      </c>
    </row>
    <row r="80" spans="1:6" s="449" customFormat="1" ht="84" hidden="1" customHeight="1" x14ac:dyDescent="0.3">
      <c r="A80" s="682" t="s">
        <v>600</v>
      </c>
      <c r="B80" s="745" t="s">
        <v>146</v>
      </c>
      <c r="C80" s="487"/>
      <c r="D80" s="487" t="s">
        <v>887</v>
      </c>
      <c r="E80" s="512" t="s">
        <v>883</v>
      </c>
    </row>
    <row r="81" spans="1:5" s="449" customFormat="1" ht="87.6" hidden="1" customHeight="1" x14ac:dyDescent="0.3">
      <c r="A81" s="682" t="s">
        <v>600</v>
      </c>
      <c r="B81" s="745" t="s">
        <v>146</v>
      </c>
      <c r="C81" s="487"/>
      <c r="D81" s="746" t="s">
        <v>899</v>
      </c>
      <c r="E81" s="512" t="s">
        <v>896</v>
      </c>
    </row>
    <row r="82" spans="1:5" s="449" customFormat="1" ht="78" hidden="1" x14ac:dyDescent="0.3">
      <c r="A82" s="682" t="s">
        <v>600</v>
      </c>
      <c r="B82" s="745" t="s">
        <v>751</v>
      </c>
      <c r="C82" s="753"/>
      <c r="D82" s="487" t="s">
        <v>808</v>
      </c>
      <c r="E82" s="488" t="s">
        <v>814</v>
      </c>
    </row>
    <row r="83" spans="1:5" s="449" customFormat="1" ht="67.2" hidden="1" customHeight="1" x14ac:dyDescent="0.3">
      <c r="A83" s="682" t="s">
        <v>600</v>
      </c>
      <c r="B83" s="745" t="s">
        <v>751</v>
      </c>
      <c r="C83" s="487"/>
      <c r="D83" s="487" t="s">
        <v>809</v>
      </c>
      <c r="E83" s="488" t="s">
        <v>824</v>
      </c>
    </row>
    <row r="84" spans="1:5" s="449" customFormat="1" ht="123" hidden="1" customHeight="1" x14ac:dyDescent="0.3">
      <c r="A84" s="682" t="s">
        <v>600</v>
      </c>
      <c r="B84" s="745" t="s">
        <v>751</v>
      </c>
      <c r="C84" s="487"/>
      <c r="D84" s="487" t="s">
        <v>815</v>
      </c>
      <c r="E84" s="512" t="s">
        <v>821</v>
      </c>
    </row>
    <row r="85" spans="1:5" s="449" customFormat="1" ht="57" customHeight="1" x14ac:dyDescent="0.3">
      <c r="A85" s="693" t="s">
        <v>600</v>
      </c>
      <c r="B85" s="751" t="s">
        <v>751</v>
      </c>
      <c r="C85" s="753">
        <v>267752.14</v>
      </c>
      <c r="D85" s="746" t="s">
        <v>929</v>
      </c>
      <c r="E85" s="512" t="s">
        <v>1042</v>
      </c>
    </row>
    <row r="86" spans="1:5" s="449" customFormat="1" ht="90" hidden="1" customHeight="1" x14ac:dyDescent="0.3">
      <c r="A86" s="682" t="s">
        <v>604</v>
      </c>
      <c r="B86" s="745" t="s">
        <v>751</v>
      </c>
      <c r="C86" s="753"/>
      <c r="D86" s="746" t="s">
        <v>789</v>
      </c>
      <c r="E86" s="512" t="s">
        <v>1043</v>
      </c>
    </row>
    <row r="87" spans="1:5" s="449" customFormat="1" ht="102.6" hidden="1" customHeight="1" x14ac:dyDescent="0.3">
      <c r="A87" s="682" t="s">
        <v>604</v>
      </c>
      <c r="B87" s="745" t="s">
        <v>146</v>
      </c>
      <c r="C87" s="753"/>
      <c r="D87" s="487" t="s">
        <v>837</v>
      </c>
      <c r="E87" s="512" t="s">
        <v>1044</v>
      </c>
    </row>
    <row r="88" spans="1:5" s="449" customFormat="1" ht="141" hidden="1" customHeight="1" x14ac:dyDescent="0.3">
      <c r="A88" s="682" t="s">
        <v>604</v>
      </c>
      <c r="B88" s="745" t="s">
        <v>146</v>
      </c>
      <c r="C88" s="753"/>
      <c r="D88" s="487" t="s">
        <v>837</v>
      </c>
      <c r="E88" s="512" t="s">
        <v>1045</v>
      </c>
    </row>
    <row r="89" spans="1:5" s="449" customFormat="1" ht="47.25" hidden="1" customHeight="1" x14ac:dyDescent="0.3">
      <c r="A89" s="682" t="s">
        <v>604</v>
      </c>
      <c r="B89" s="745" t="s">
        <v>603</v>
      </c>
      <c r="C89" s="753"/>
      <c r="D89" s="746" t="s">
        <v>605</v>
      </c>
      <c r="E89" s="512" t="s">
        <v>606</v>
      </c>
    </row>
    <row r="90" spans="1:5" s="449" customFormat="1" ht="47.25" hidden="1" customHeight="1" x14ac:dyDescent="0.3">
      <c r="A90" s="682" t="s">
        <v>600</v>
      </c>
      <c r="B90" s="745" t="s">
        <v>603</v>
      </c>
      <c r="C90" s="753"/>
      <c r="D90" s="746" t="s">
        <v>605</v>
      </c>
      <c r="E90" s="512" t="s">
        <v>607</v>
      </c>
    </row>
    <row r="91" spans="1:5" s="449" customFormat="1" ht="47.25" hidden="1" customHeight="1" x14ac:dyDescent="0.3">
      <c r="A91" s="682" t="s">
        <v>604</v>
      </c>
      <c r="B91" s="745" t="s">
        <v>603</v>
      </c>
      <c r="C91" s="753"/>
      <c r="D91" s="752" t="s">
        <v>605</v>
      </c>
      <c r="E91" s="512" t="s">
        <v>608</v>
      </c>
    </row>
    <row r="92" spans="1:5" s="449" customFormat="1" ht="47.25" hidden="1" customHeight="1" x14ac:dyDescent="0.3">
      <c r="A92" s="682" t="s">
        <v>604</v>
      </c>
      <c r="B92" s="745" t="s">
        <v>603</v>
      </c>
      <c r="C92" s="753"/>
      <c r="D92" s="752" t="s">
        <v>605</v>
      </c>
      <c r="E92" s="512" t="s">
        <v>608</v>
      </c>
    </row>
    <row r="93" spans="1:5" s="449" customFormat="1" ht="63" hidden="1" customHeight="1" x14ac:dyDescent="0.3">
      <c r="A93" s="682" t="s">
        <v>604</v>
      </c>
      <c r="B93" s="751" t="s">
        <v>759</v>
      </c>
      <c r="C93" s="753"/>
      <c r="D93" s="487" t="s">
        <v>837</v>
      </c>
      <c r="E93" s="512" t="s">
        <v>1046</v>
      </c>
    </row>
    <row r="94" spans="1:5" s="449" customFormat="1" ht="81.599999999999994" hidden="1" customHeight="1" x14ac:dyDescent="0.3">
      <c r="A94" s="693" t="s">
        <v>604</v>
      </c>
      <c r="B94" s="751" t="s">
        <v>759</v>
      </c>
      <c r="C94" s="753"/>
      <c r="D94" s="487" t="s">
        <v>807</v>
      </c>
      <c r="E94" s="512" t="s">
        <v>1047</v>
      </c>
    </row>
    <row r="95" spans="1:5" s="449" customFormat="1" ht="45.6" hidden="1" customHeight="1" x14ac:dyDescent="0.3">
      <c r="A95" s="682" t="s">
        <v>604</v>
      </c>
      <c r="B95" s="745" t="s">
        <v>609</v>
      </c>
      <c r="C95" s="753"/>
      <c r="D95" s="746" t="s">
        <v>610</v>
      </c>
      <c r="E95" s="512" t="s">
        <v>611</v>
      </c>
    </row>
    <row r="96" spans="1:5" s="445" customFormat="1" ht="66.599999999999994" hidden="1" customHeight="1" x14ac:dyDescent="0.3">
      <c r="A96" s="682" t="s">
        <v>604</v>
      </c>
      <c r="B96" s="745" t="s">
        <v>806</v>
      </c>
      <c r="C96" s="753"/>
      <c r="D96" s="487" t="s">
        <v>807</v>
      </c>
      <c r="E96" s="512" t="s">
        <v>1048</v>
      </c>
    </row>
    <row r="97" spans="1:5" s="445" customFormat="1" ht="62.4" hidden="1" x14ac:dyDescent="0.3">
      <c r="A97" s="682" t="s">
        <v>604</v>
      </c>
      <c r="B97" s="745" t="s">
        <v>806</v>
      </c>
      <c r="C97" s="753"/>
      <c r="D97" s="487" t="s">
        <v>899</v>
      </c>
      <c r="E97" s="512" t="s">
        <v>1049</v>
      </c>
    </row>
    <row r="98" spans="1:5" s="445" customFormat="1" ht="63" hidden="1" customHeight="1" x14ac:dyDescent="0.3">
      <c r="A98" s="682" t="s">
        <v>604</v>
      </c>
      <c r="B98" s="745" t="s">
        <v>157</v>
      </c>
      <c r="C98" s="753"/>
      <c r="D98" s="487" t="s">
        <v>899</v>
      </c>
      <c r="E98" s="512" t="s">
        <v>900</v>
      </c>
    </row>
    <row r="99" spans="1:5" s="449" customFormat="1" ht="84.6" customHeight="1" x14ac:dyDescent="0.3">
      <c r="A99" s="682" t="s">
        <v>604</v>
      </c>
      <c r="B99" s="745" t="s">
        <v>930</v>
      </c>
      <c r="C99" s="753">
        <f>64000+24600+5500</f>
        <v>94100</v>
      </c>
      <c r="D99" s="746" t="s">
        <v>929</v>
      </c>
      <c r="E99" s="512" t="s">
        <v>1050</v>
      </c>
    </row>
    <row r="100" spans="1:5" s="449" customFormat="1" ht="78.75" hidden="1" customHeight="1" x14ac:dyDescent="0.3">
      <c r="A100" s="682" t="s">
        <v>604</v>
      </c>
      <c r="B100" s="745" t="s">
        <v>612</v>
      </c>
      <c r="C100" s="487"/>
      <c r="D100" s="746" t="s">
        <v>602</v>
      </c>
      <c r="E100" s="488" t="s">
        <v>613</v>
      </c>
    </row>
    <row r="101" spans="1:5" s="449" customFormat="1" ht="47.25" hidden="1" customHeight="1" x14ac:dyDescent="0.3">
      <c r="A101" s="682" t="s">
        <v>604</v>
      </c>
      <c r="B101" s="745" t="s">
        <v>612</v>
      </c>
      <c r="C101" s="487"/>
      <c r="D101" s="746" t="s">
        <v>614</v>
      </c>
      <c r="E101" s="512" t="s">
        <v>615</v>
      </c>
    </row>
    <row r="102" spans="1:5" s="449" customFormat="1" ht="47.25" hidden="1" customHeight="1" x14ac:dyDescent="0.3">
      <c r="A102" s="682" t="s">
        <v>604</v>
      </c>
      <c r="B102" s="745" t="s">
        <v>616</v>
      </c>
      <c r="C102" s="487"/>
      <c r="D102" s="746" t="s">
        <v>602</v>
      </c>
      <c r="E102" s="512" t="s">
        <v>617</v>
      </c>
    </row>
    <row r="103" spans="1:5" s="449" customFormat="1" ht="93.6" hidden="1" x14ac:dyDescent="0.3">
      <c r="A103" s="682" t="s">
        <v>604</v>
      </c>
      <c r="B103" s="745" t="s">
        <v>455</v>
      </c>
      <c r="C103" s="487"/>
      <c r="D103" s="487" t="s">
        <v>763</v>
      </c>
      <c r="E103" s="488" t="s">
        <v>764</v>
      </c>
    </row>
    <row r="104" spans="1:5" s="449" customFormat="1" ht="99.6" hidden="1" customHeight="1" x14ac:dyDescent="0.3">
      <c r="A104" s="682" t="s">
        <v>604</v>
      </c>
      <c r="B104" s="745" t="s">
        <v>842</v>
      </c>
      <c r="C104" s="487"/>
      <c r="D104" s="487" t="s">
        <v>837</v>
      </c>
      <c r="E104" s="786" t="s">
        <v>856</v>
      </c>
    </row>
    <row r="105" spans="1:5" s="449" customFormat="1" ht="107.4" hidden="1" customHeight="1" x14ac:dyDescent="0.3">
      <c r="A105" s="682" t="s">
        <v>604</v>
      </c>
      <c r="B105" s="745" t="s">
        <v>836</v>
      </c>
      <c r="C105" s="755"/>
      <c r="D105" s="487" t="s">
        <v>837</v>
      </c>
      <c r="E105" s="614" t="s">
        <v>857</v>
      </c>
    </row>
    <row r="106" spans="1:5" s="449" customFormat="1" ht="78" hidden="1" x14ac:dyDescent="0.3">
      <c r="A106" s="682" t="s">
        <v>604</v>
      </c>
      <c r="B106" s="745" t="s">
        <v>836</v>
      </c>
      <c r="C106" s="487"/>
      <c r="D106" s="487"/>
      <c r="E106" s="488" t="s">
        <v>838</v>
      </c>
    </row>
    <row r="107" spans="1:5" s="449" customFormat="1" ht="67.8" hidden="1" customHeight="1" x14ac:dyDescent="0.3">
      <c r="A107" s="682" t="s">
        <v>604</v>
      </c>
      <c r="B107" s="745" t="s">
        <v>455</v>
      </c>
      <c r="C107" s="487"/>
      <c r="D107" s="487" t="s">
        <v>841</v>
      </c>
      <c r="E107" s="568" t="s">
        <v>858</v>
      </c>
    </row>
    <row r="108" spans="1:5" s="449" customFormat="1" ht="94.5" hidden="1" customHeight="1" x14ac:dyDescent="0.3">
      <c r="A108" s="744" t="s">
        <v>618</v>
      </c>
      <c r="B108" s="745" t="s">
        <v>706</v>
      </c>
      <c r="C108" s="487"/>
      <c r="D108" s="746" t="s">
        <v>752</v>
      </c>
      <c r="E108" s="488" t="s">
        <v>756</v>
      </c>
    </row>
    <row r="109" spans="1:5" s="449" customFormat="1" ht="60.6" hidden="1" customHeight="1" x14ac:dyDescent="0.3">
      <c r="A109" s="744" t="s">
        <v>618</v>
      </c>
      <c r="B109" s="745" t="s">
        <v>619</v>
      </c>
      <c r="C109" s="784"/>
      <c r="D109" s="487" t="s">
        <v>775</v>
      </c>
      <c r="E109" s="488" t="s">
        <v>926</v>
      </c>
    </row>
    <row r="110" spans="1:5" s="449" customFormat="1" ht="110.25" hidden="1" customHeight="1" x14ac:dyDescent="0.3">
      <c r="A110" s="744" t="s">
        <v>618</v>
      </c>
      <c r="B110" s="745" t="s">
        <v>700</v>
      </c>
      <c r="C110" s="487"/>
      <c r="D110" s="487" t="s">
        <v>701</v>
      </c>
      <c r="E110" s="488" t="s">
        <v>702</v>
      </c>
    </row>
    <row r="111" spans="1:5" s="449" customFormat="1" ht="78.75" hidden="1" customHeight="1" x14ac:dyDescent="0.3">
      <c r="A111" s="744" t="s">
        <v>618</v>
      </c>
      <c r="B111" s="745" t="s">
        <v>620</v>
      </c>
      <c r="C111" s="487"/>
      <c r="D111" s="487" t="s">
        <v>701</v>
      </c>
      <c r="E111" s="488" t="s">
        <v>729</v>
      </c>
    </row>
    <row r="112" spans="1:5" s="449" customFormat="1" ht="122.4" hidden="1" customHeight="1" x14ac:dyDescent="0.3">
      <c r="A112" s="744" t="s">
        <v>618</v>
      </c>
      <c r="B112" s="745" t="s">
        <v>620</v>
      </c>
      <c r="C112" s="487"/>
      <c r="D112" s="487" t="s">
        <v>799</v>
      </c>
      <c r="E112" s="488" t="s">
        <v>803</v>
      </c>
    </row>
    <row r="113" spans="1:6" s="449" customFormat="1" ht="63" hidden="1" customHeight="1" x14ac:dyDescent="0.3">
      <c r="A113" s="744" t="s">
        <v>618</v>
      </c>
      <c r="B113" s="745" t="s">
        <v>620</v>
      </c>
      <c r="C113" s="487"/>
      <c r="D113" s="487" t="s">
        <v>646</v>
      </c>
      <c r="E113" s="488" t="s">
        <v>666</v>
      </c>
    </row>
    <row r="114" spans="1:6" s="449" customFormat="1" ht="63" hidden="1" customHeight="1" x14ac:dyDescent="0.3">
      <c r="A114" s="744" t="s">
        <v>618</v>
      </c>
      <c r="B114" s="745" t="s">
        <v>620</v>
      </c>
      <c r="C114" s="487"/>
      <c r="D114" s="487" t="s">
        <v>646</v>
      </c>
      <c r="E114" s="488" t="s">
        <v>667</v>
      </c>
    </row>
    <row r="115" spans="1:6" s="449" customFormat="1" ht="78" hidden="1" x14ac:dyDescent="0.3">
      <c r="A115" s="744" t="s">
        <v>618</v>
      </c>
      <c r="B115" s="745" t="s">
        <v>620</v>
      </c>
      <c r="C115" s="755"/>
      <c r="D115" s="487" t="s">
        <v>916</v>
      </c>
      <c r="E115" s="488" t="s">
        <v>925</v>
      </c>
    </row>
    <row r="116" spans="1:6" s="449" customFormat="1" ht="117.6" customHeight="1" x14ac:dyDescent="0.3">
      <c r="A116" s="744" t="s">
        <v>618</v>
      </c>
      <c r="B116" s="745" t="s">
        <v>620</v>
      </c>
      <c r="C116" s="487">
        <v>-40500</v>
      </c>
      <c r="D116" s="487" t="s">
        <v>993</v>
      </c>
      <c r="E116" s="488" t="s">
        <v>994</v>
      </c>
    </row>
    <row r="117" spans="1:6" s="449" customFormat="1" ht="129.6" customHeight="1" x14ac:dyDescent="0.3">
      <c r="A117" s="744" t="s">
        <v>618</v>
      </c>
      <c r="B117" s="745" t="s">
        <v>620</v>
      </c>
      <c r="C117" s="487">
        <v>40500</v>
      </c>
      <c r="D117" s="487" t="s">
        <v>993</v>
      </c>
      <c r="E117" s="512" t="s">
        <v>995</v>
      </c>
    </row>
    <row r="118" spans="1:6" s="449" customFormat="1" ht="103.2" customHeight="1" x14ac:dyDescent="0.3">
      <c r="A118" s="744" t="s">
        <v>618</v>
      </c>
      <c r="B118" s="745" t="s">
        <v>620</v>
      </c>
      <c r="C118" s="487">
        <v>-309500</v>
      </c>
      <c r="D118" s="487" t="s">
        <v>1034</v>
      </c>
      <c r="E118" s="488" t="s">
        <v>1035</v>
      </c>
    </row>
    <row r="119" spans="1:6" s="449" customFormat="1" ht="103.8" customHeight="1" x14ac:dyDescent="0.3">
      <c r="A119" s="744" t="s">
        <v>618</v>
      </c>
      <c r="B119" s="745" t="s">
        <v>620</v>
      </c>
      <c r="C119" s="487">
        <v>309500</v>
      </c>
      <c r="D119" s="487" t="s">
        <v>1034</v>
      </c>
      <c r="E119" s="512" t="s">
        <v>1036</v>
      </c>
    </row>
    <row r="120" spans="1:6" s="449" customFormat="1" ht="97.8" customHeight="1" x14ac:dyDescent="0.3">
      <c r="A120" s="744" t="s">
        <v>618</v>
      </c>
      <c r="B120" s="745" t="s">
        <v>620</v>
      </c>
      <c r="C120" s="487">
        <v>-102980</v>
      </c>
      <c r="D120" s="487" t="s">
        <v>991</v>
      </c>
      <c r="E120" s="488" t="s">
        <v>990</v>
      </c>
    </row>
    <row r="121" spans="1:6" s="449" customFormat="1" ht="93.6" x14ac:dyDescent="0.3">
      <c r="A121" s="744" t="s">
        <v>618</v>
      </c>
      <c r="B121" s="745" t="s">
        <v>620</v>
      </c>
      <c r="C121" s="487">
        <v>102980</v>
      </c>
      <c r="D121" s="487" t="s">
        <v>991</v>
      </c>
      <c r="E121" s="488" t="s">
        <v>990</v>
      </c>
    </row>
    <row r="122" spans="1:6" s="449" customFormat="1" ht="97.95" customHeight="1" x14ac:dyDescent="0.3">
      <c r="A122" s="744" t="s">
        <v>618</v>
      </c>
      <c r="B122" s="745" t="s">
        <v>620</v>
      </c>
      <c r="C122" s="487">
        <v>-24636</v>
      </c>
      <c r="D122" s="487" t="s">
        <v>991</v>
      </c>
      <c r="E122" s="488" t="s">
        <v>1057</v>
      </c>
    </row>
    <row r="123" spans="1:6" s="449" customFormat="1" ht="97.95" customHeight="1" x14ac:dyDescent="0.3">
      <c r="A123" s="744" t="s">
        <v>618</v>
      </c>
      <c r="B123" s="745" t="s">
        <v>620</v>
      </c>
      <c r="C123" s="487">
        <v>24636</v>
      </c>
      <c r="D123" s="487" t="s">
        <v>991</v>
      </c>
      <c r="E123" s="488" t="s">
        <v>1058</v>
      </c>
    </row>
    <row r="124" spans="1:6" s="449" customFormat="1" ht="54.6" customHeight="1" x14ac:dyDescent="0.3">
      <c r="A124" s="744" t="s">
        <v>618</v>
      </c>
      <c r="B124" s="745" t="s">
        <v>621</v>
      </c>
      <c r="C124" s="487">
        <v>80000</v>
      </c>
      <c r="D124" s="746" t="s">
        <v>1012</v>
      </c>
      <c r="E124" s="488" t="s">
        <v>996</v>
      </c>
      <c r="F124" s="837" t="s">
        <v>989</v>
      </c>
    </row>
    <row r="125" spans="1:6" s="449" customFormat="1" ht="94.2" customHeight="1" x14ac:dyDescent="0.3">
      <c r="A125" s="744" t="s">
        <v>618</v>
      </c>
      <c r="B125" s="745" t="s">
        <v>621</v>
      </c>
      <c r="C125" s="487">
        <v>-12000</v>
      </c>
      <c r="D125" s="746" t="s">
        <v>1013</v>
      </c>
      <c r="E125" s="488" t="s">
        <v>1069</v>
      </c>
    </row>
    <row r="126" spans="1:6" s="449" customFormat="1" ht="100.8" customHeight="1" x14ac:dyDescent="0.3">
      <c r="A126" s="744" t="s">
        <v>618</v>
      </c>
      <c r="B126" s="745" t="s">
        <v>621</v>
      </c>
      <c r="C126" s="487">
        <v>12000</v>
      </c>
      <c r="D126" s="746" t="s">
        <v>1013</v>
      </c>
      <c r="E126" s="488" t="s">
        <v>999</v>
      </c>
    </row>
    <row r="127" spans="1:6" s="449" customFormat="1" ht="63" hidden="1" customHeight="1" x14ac:dyDescent="0.3">
      <c r="A127" s="744" t="s">
        <v>618</v>
      </c>
      <c r="B127" s="745" t="s">
        <v>621</v>
      </c>
      <c r="C127" s="487"/>
      <c r="D127" s="746" t="s">
        <v>749</v>
      </c>
      <c r="E127" s="488" t="s">
        <v>748</v>
      </c>
    </row>
    <row r="128" spans="1:6" s="449" customFormat="1" ht="63" hidden="1" customHeight="1" x14ac:dyDescent="0.3">
      <c r="A128" s="744" t="s">
        <v>618</v>
      </c>
      <c r="B128" s="745" t="s">
        <v>621</v>
      </c>
      <c r="C128" s="487"/>
      <c r="D128" s="487" t="s">
        <v>721</v>
      </c>
      <c r="E128" s="488" t="s">
        <v>668</v>
      </c>
    </row>
    <row r="129" spans="1:5" s="449" customFormat="1" ht="47.25" hidden="1" customHeight="1" x14ac:dyDescent="0.3">
      <c r="A129" s="744" t="s">
        <v>618</v>
      </c>
      <c r="B129" s="745" t="s">
        <v>621</v>
      </c>
      <c r="C129" s="487"/>
      <c r="D129" s="487" t="s">
        <v>721</v>
      </c>
      <c r="E129" s="488" t="s">
        <v>669</v>
      </c>
    </row>
    <row r="130" spans="1:5" s="449" customFormat="1" ht="63" hidden="1" customHeight="1" x14ac:dyDescent="0.3">
      <c r="A130" s="744" t="s">
        <v>618</v>
      </c>
      <c r="B130" s="745" t="s">
        <v>621</v>
      </c>
      <c r="C130" s="487"/>
      <c r="D130" s="487" t="s">
        <v>721</v>
      </c>
      <c r="E130" s="488" t="s">
        <v>670</v>
      </c>
    </row>
    <row r="131" spans="1:5" s="449" customFormat="1" ht="47.25" hidden="1" customHeight="1" x14ac:dyDescent="0.3">
      <c r="A131" s="744" t="s">
        <v>618</v>
      </c>
      <c r="B131" s="745" t="s">
        <v>621</v>
      </c>
      <c r="C131" s="487"/>
      <c r="D131" s="487" t="s">
        <v>721</v>
      </c>
      <c r="E131" s="488" t="s">
        <v>671</v>
      </c>
    </row>
    <row r="132" spans="1:5" s="449" customFormat="1" ht="63" hidden="1" customHeight="1" x14ac:dyDescent="0.3">
      <c r="A132" s="744" t="s">
        <v>618</v>
      </c>
      <c r="B132" s="745" t="s">
        <v>621</v>
      </c>
      <c r="C132" s="755"/>
      <c r="D132" s="487" t="s">
        <v>721</v>
      </c>
      <c r="E132" s="488" t="s">
        <v>820</v>
      </c>
    </row>
    <row r="133" spans="1:5" s="449" customFormat="1" ht="63" hidden="1" customHeight="1" x14ac:dyDescent="0.3">
      <c r="A133" s="744" t="s">
        <v>618</v>
      </c>
      <c r="B133" s="745" t="s">
        <v>621</v>
      </c>
      <c r="C133" s="755"/>
      <c r="D133" s="487" t="s">
        <v>868</v>
      </c>
      <c r="E133" s="488" t="s">
        <v>917</v>
      </c>
    </row>
    <row r="134" spans="1:5" s="449" customFormat="1" ht="78.75" hidden="1" customHeight="1" x14ac:dyDescent="0.3">
      <c r="A134" s="744" t="s">
        <v>618</v>
      </c>
      <c r="B134" s="745" t="s">
        <v>621</v>
      </c>
      <c r="C134" s="755"/>
      <c r="D134" s="487" t="s">
        <v>868</v>
      </c>
      <c r="E134" s="488" t="s">
        <v>869</v>
      </c>
    </row>
    <row r="135" spans="1:5" s="449" customFormat="1" ht="78.75" hidden="1" customHeight="1" x14ac:dyDescent="0.3">
      <c r="A135" s="744" t="s">
        <v>618</v>
      </c>
      <c r="B135" s="745" t="s">
        <v>621</v>
      </c>
      <c r="C135" s="755"/>
      <c r="D135" s="487" t="s">
        <v>873</v>
      </c>
      <c r="E135" s="488" t="s">
        <v>874</v>
      </c>
    </row>
    <row r="136" spans="1:5" s="449" customFormat="1" ht="78.75" hidden="1" customHeight="1" x14ac:dyDescent="0.3">
      <c r="A136" s="744" t="s">
        <v>618</v>
      </c>
      <c r="B136" s="745" t="s">
        <v>621</v>
      </c>
      <c r="C136" s="755"/>
      <c r="D136" s="487" t="s">
        <v>873</v>
      </c>
      <c r="E136" s="488" t="s">
        <v>922</v>
      </c>
    </row>
    <row r="137" spans="1:5" s="449" customFormat="1" ht="63" hidden="1" customHeight="1" x14ac:dyDescent="0.3">
      <c r="A137" s="744" t="s">
        <v>618</v>
      </c>
      <c r="B137" s="745" t="s">
        <v>621</v>
      </c>
      <c r="C137" s="755"/>
      <c r="D137" s="487" t="s">
        <v>873</v>
      </c>
      <c r="E137" s="488" t="s">
        <v>924</v>
      </c>
    </row>
    <row r="138" spans="1:5" s="449" customFormat="1" ht="62.4" hidden="1" x14ac:dyDescent="0.3">
      <c r="A138" s="744" t="s">
        <v>618</v>
      </c>
      <c r="B138" s="745" t="s">
        <v>621</v>
      </c>
      <c r="C138" s="755"/>
      <c r="D138" s="487" t="s">
        <v>873</v>
      </c>
      <c r="E138" s="488" t="s">
        <v>872</v>
      </c>
    </row>
    <row r="139" spans="1:5" s="449" customFormat="1" ht="63" hidden="1" customHeight="1" x14ac:dyDescent="0.3">
      <c r="A139" s="744" t="s">
        <v>618</v>
      </c>
      <c r="B139" s="745" t="s">
        <v>621</v>
      </c>
      <c r="C139" s="755"/>
      <c r="D139" s="487" t="s">
        <v>816</v>
      </c>
      <c r="E139" s="488" t="s">
        <v>812</v>
      </c>
    </row>
    <row r="140" spans="1:5" s="449" customFormat="1" ht="91.8" hidden="1" customHeight="1" x14ac:dyDescent="0.3">
      <c r="A140" s="744" t="s">
        <v>618</v>
      </c>
      <c r="B140" s="745" t="s">
        <v>621</v>
      </c>
      <c r="C140" s="755"/>
      <c r="D140" s="487" t="s">
        <v>816</v>
      </c>
      <c r="E140" s="488" t="s">
        <v>811</v>
      </c>
    </row>
    <row r="141" spans="1:5" s="449" customFormat="1" ht="63" hidden="1" customHeight="1" x14ac:dyDescent="0.3">
      <c r="A141" s="744" t="s">
        <v>618</v>
      </c>
      <c r="B141" s="745" t="s">
        <v>621</v>
      </c>
      <c r="C141" s="755"/>
      <c r="D141" s="487" t="s">
        <v>721</v>
      </c>
      <c r="E141" s="488" t="s">
        <v>699</v>
      </c>
    </row>
    <row r="142" spans="1:5" s="449" customFormat="1" ht="78" hidden="1" x14ac:dyDescent="0.3">
      <c r="A142" s="744" t="s">
        <v>618</v>
      </c>
      <c r="B142" s="745" t="s">
        <v>621</v>
      </c>
      <c r="C142" s="755"/>
      <c r="D142" s="487" t="s">
        <v>773</v>
      </c>
      <c r="E142" s="488" t="s">
        <v>923</v>
      </c>
    </row>
    <row r="143" spans="1:5" s="449" customFormat="1" ht="62.4" hidden="1" x14ac:dyDescent="0.3">
      <c r="A143" s="744" t="s">
        <v>618</v>
      </c>
      <c r="B143" s="745" t="s">
        <v>621</v>
      </c>
      <c r="C143" s="755"/>
      <c r="D143" s="487" t="s">
        <v>871</v>
      </c>
      <c r="E143" s="488" t="s">
        <v>870</v>
      </c>
    </row>
    <row r="144" spans="1:5" s="449" customFormat="1" ht="70.5" hidden="1" customHeight="1" x14ac:dyDescent="0.3">
      <c r="A144" s="744"/>
      <c r="B144" s="745"/>
      <c r="C144" s="755"/>
      <c r="D144" s="487"/>
      <c r="E144" s="488"/>
    </row>
    <row r="145" spans="1:5" s="449" customFormat="1" ht="63" hidden="1" customHeight="1" x14ac:dyDescent="0.3">
      <c r="A145" s="744" t="s">
        <v>618</v>
      </c>
      <c r="B145" s="745" t="s">
        <v>621</v>
      </c>
      <c r="C145" s="755"/>
      <c r="D145" s="487" t="s">
        <v>742</v>
      </c>
      <c r="E145" s="488" t="s">
        <v>736</v>
      </c>
    </row>
    <row r="146" spans="1:5" s="449" customFormat="1" ht="63" hidden="1" customHeight="1" x14ac:dyDescent="0.3">
      <c r="A146" s="744" t="s">
        <v>618</v>
      </c>
      <c r="B146" s="745" t="s">
        <v>621</v>
      </c>
      <c r="C146" s="755"/>
      <c r="D146" s="487" t="s">
        <v>742</v>
      </c>
      <c r="E146" s="488" t="s">
        <v>737</v>
      </c>
    </row>
    <row r="147" spans="1:5" s="449" customFormat="1" ht="63" hidden="1" customHeight="1" x14ac:dyDescent="0.3">
      <c r="A147" s="744" t="s">
        <v>618</v>
      </c>
      <c r="B147" s="745" t="s">
        <v>621</v>
      </c>
      <c r="C147" s="755"/>
      <c r="D147" s="487" t="s">
        <v>742</v>
      </c>
      <c r="E147" s="488" t="s">
        <v>738</v>
      </c>
    </row>
    <row r="148" spans="1:5" s="449" customFormat="1" ht="63" hidden="1" customHeight="1" x14ac:dyDescent="0.3">
      <c r="A148" s="744" t="s">
        <v>618</v>
      </c>
      <c r="B148" s="745" t="s">
        <v>621</v>
      </c>
      <c r="C148" s="755"/>
      <c r="D148" s="487" t="s">
        <v>742</v>
      </c>
      <c r="E148" s="488" t="s">
        <v>741</v>
      </c>
    </row>
    <row r="149" spans="1:5" s="449" customFormat="1" ht="63" hidden="1" customHeight="1" x14ac:dyDescent="0.3">
      <c r="A149" s="744" t="s">
        <v>618</v>
      </c>
      <c r="B149" s="745" t="s">
        <v>621</v>
      </c>
      <c r="C149" s="755"/>
      <c r="D149" s="487" t="s">
        <v>742</v>
      </c>
      <c r="E149" s="488" t="s">
        <v>743</v>
      </c>
    </row>
    <row r="150" spans="1:5" s="449" customFormat="1" ht="63" hidden="1" customHeight="1" x14ac:dyDescent="0.3">
      <c r="A150" s="744" t="s">
        <v>618</v>
      </c>
      <c r="B150" s="745" t="s">
        <v>621</v>
      </c>
      <c r="C150" s="755"/>
      <c r="D150" s="487" t="s">
        <v>742</v>
      </c>
      <c r="E150" s="488" t="s">
        <v>739</v>
      </c>
    </row>
    <row r="151" spans="1:5" s="449" customFormat="1" ht="72" hidden="1" customHeight="1" x14ac:dyDescent="0.3">
      <c r="A151" s="744" t="s">
        <v>618</v>
      </c>
      <c r="B151" s="745" t="s">
        <v>700</v>
      </c>
      <c r="C151" s="755"/>
      <c r="D151" s="487" t="s">
        <v>839</v>
      </c>
      <c r="E151" s="488" t="s">
        <v>859</v>
      </c>
    </row>
    <row r="152" spans="1:5" s="449" customFormat="1" ht="54.6" customHeight="1" x14ac:dyDescent="0.3">
      <c r="A152" s="744" t="s">
        <v>618</v>
      </c>
      <c r="B152" s="745" t="s">
        <v>703</v>
      </c>
      <c r="C152" s="487">
        <v>5700</v>
      </c>
      <c r="D152" s="487" t="s">
        <v>1014</v>
      </c>
      <c r="E152" s="512" t="s">
        <v>1024</v>
      </c>
    </row>
    <row r="153" spans="1:5" s="449" customFormat="1" ht="91.2" hidden="1" customHeight="1" x14ac:dyDescent="0.3">
      <c r="A153" s="744" t="s">
        <v>618</v>
      </c>
      <c r="B153" s="745" t="s">
        <v>703</v>
      </c>
      <c r="C153" s="487"/>
      <c r="D153" s="487" t="s">
        <v>840</v>
      </c>
      <c r="E153" s="512" t="s">
        <v>861</v>
      </c>
    </row>
    <row r="154" spans="1:5" s="449" customFormat="1" ht="78" x14ac:dyDescent="0.3">
      <c r="A154" s="744" t="s">
        <v>618</v>
      </c>
      <c r="B154" s="745" t="s">
        <v>706</v>
      </c>
      <c r="C154" s="487">
        <v>-960</v>
      </c>
      <c r="D154" s="487" t="s">
        <v>992</v>
      </c>
      <c r="E154" s="568" t="s">
        <v>1011</v>
      </c>
    </row>
    <row r="155" spans="1:5" s="449" customFormat="1" ht="159.6" hidden="1" customHeight="1" thickBot="1" x14ac:dyDescent="0.35">
      <c r="A155" s="767" t="s">
        <v>618</v>
      </c>
      <c r="B155" s="768" t="s">
        <v>710</v>
      </c>
      <c r="C155" s="769"/>
      <c r="D155" s="785" t="s">
        <v>810</v>
      </c>
      <c r="E155" s="770" t="s">
        <v>817</v>
      </c>
    </row>
    <row r="156" spans="1:5" s="449" customFormat="1" ht="116.4" customHeight="1" x14ac:dyDescent="0.3">
      <c r="A156" s="446" t="s">
        <v>622</v>
      </c>
      <c r="B156" s="760" t="s">
        <v>163</v>
      </c>
      <c r="C156" s="840">
        <v>287920</v>
      </c>
      <c r="D156" s="453" t="s">
        <v>1039</v>
      </c>
      <c r="E156" s="761" t="s">
        <v>1040</v>
      </c>
    </row>
    <row r="157" spans="1:5" s="449" customFormat="1" ht="94.5" hidden="1" customHeight="1" x14ac:dyDescent="0.3">
      <c r="A157" s="450" t="s">
        <v>622</v>
      </c>
      <c r="B157" s="452" t="s">
        <v>466</v>
      </c>
      <c r="C157" s="511"/>
      <c r="D157" s="453" t="s">
        <v>904</v>
      </c>
      <c r="E157" s="454" t="s">
        <v>913</v>
      </c>
    </row>
    <row r="158" spans="1:5" s="449" customFormat="1" ht="63" hidden="1" customHeight="1" x14ac:dyDescent="0.3">
      <c r="A158" s="450" t="s">
        <v>622</v>
      </c>
      <c r="B158" s="452" t="s">
        <v>469</v>
      </c>
      <c r="C158" s="511"/>
      <c r="D158" s="453" t="s">
        <v>904</v>
      </c>
      <c r="E158" s="447" t="s">
        <v>914</v>
      </c>
    </row>
    <row r="159" spans="1:5" s="449" customFormat="1" ht="63" hidden="1" customHeight="1" x14ac:dyDescent="0.3">
      <c r="A159" s="450" t="s">
        <v>622</v>
      </c>
      <c r="B159" s="452" t="s">
        <v>466</v>
      </c>
      <c r="C159" s="511"/>
      <c r="D159" s="453" t="s">
        <v>904</v>
      </c>
      <c r="E159" s="454" t="s">
        <v>624</v>
      </c>
    </row>
    <row r="160" spans="1:5" s="449" customFormat="1" ht="31.5" hidden="1" customHeight="1" x14ac:dyDescent="0.3">
      <c r="A160" s="462" t="s">
        <v>622</v>
      </c>
      <c r="B160" s="457" t="s">
        <v>469</v>
      </c>
      <c r="C160" s="694"/>
      <c r="D160" s="453" t="s">
        <v>904</v>
      </c>
      <c r="E160" s="454" t="s">
        <v>750</v>
      </c>
    </row>
    <row r="161" spans="1:6" s="449" customFormat="1" ht="88.2" hidden="1" customHeight="1" x14ac:dyDescent="0.3">
      <c r="A161" s="462" t="s">
        <v>622</v>
      </c>
      <c r="B161" s="457" t="s">
        <v>469</v>
      </c>
      <c r="C161" s="737"/>
      <c r="D161" s="453" t="s">
        <v>904</v>
      </c>
      <c r="E161" s="568" t="s">
        <v>793</v>
      </c>
    </row>
    <row r="162" spans="1:6" s="449" customFormat="1" ht="46.8" hidden="1" x14ac:dyDescent="0.3">
      <c r="A162" s="462" t="s">
        <v>622</v>
      </c>
      <c r="B162" s="457" t="s">
        <v>473</v>
      </c>
      <c r="C162" s="464"/>
      <c r="D162" s="453" t="s">
        <v>904</v>
      </c>
      <c r="E162" s="761" t="s">
        <v>915</v>
      </c>
    </row>
    <row r="163" spans="1:6" s="449" customFormat="1" ht="103.8" hidden="1" customHeight="1" x14ac:dyDescent="0.3">
      <c r="A163" s="450" t="s">
        <v>622</v>
      </c>
      <c r="B163" s="452" t="s">
        <v>166</v>
      </c>
      <c r="C163" s="451"/>
      <c r="D163" s="466" t="s">
        <v>843</v>
      </c>
      <c r="E163" s="488" t="s">
        <v>846</v>
      </c>
    </row>
    <row r="164" spans="1:6" s="449" customFormat="1" ht="106.8" customHeight="1" x14ac:dyDescent="0.3">
      <c r="A164" s="467" t="s">
        <v>569</v>
      </c>
      <c r="B164" s="468" t="s">
        <v>727</v>
      </c>
      <c r="C164" s="458">
        <v>30000</v>
      </c>
      <c r="D164" s="626" t="s">
        <v>997</v>
      </c>
      <c r="E164" s="447" t="s">
        <v>1018</v>
      </c>
    </row>
    <row r="165" spans="1:6" s="449" customFormat="1" ht="130.19999999999999" customHeight="1" x14ac:dyDescent="0.3">
      <c r="A165" s="467" t="s">
        <v>569</v>
      </c>
      <c r="B165" s="468" t="s">
        <v>727</v>
      </c>
      <c r="C165" s="458">
        <v>10000</v>
      </c>
      <c r="D165" s="626" t="s">
        <v>1015</v>
      </c>
      <c r="E165" s="454" t="s">
        <v>1019</v>
      </c>
    </row>
    <row r="166" spans="1:6" s="445" customFormat="1" ht="135.6" customHeight="1" thickBot="1" x14ac:dyDescent="0.35">
      <c r="A166" s="467" t="s">
        <v>569</v>
      </c>
      <c r="B166" s="468" t="s">
        <v>727</v>
      </c>
      <c r="C166" s="458">
        <v>10000</v>
      </c>
      <c r="D166" s="626" t="s">
        <v>1002</v>
      </c>
      <c r="E166" s="454" t="s">
        <v>1020</v>
      </c>
    </row>
    <row r="167" spans="1:6" ht="16.2" thickBot="1" x14ac:dyDescent="0.35">
      <c r="A167" s="965" t="s">
        <v>625</v>
      </c>
      <c r="B167" s="966"/>
      <c r="C167" s="469">
        <f>SUM(C7:C166)</f>
        <v>3792471.14</v>
      </c>
      <c r="D167" s="470">
        <f>C167-'Дод 1'!C97</f>
        <v>-207528.85999999987</v>
      </c>
      <c r="E167" s="471">
        <f>C167-'дод 3 '!F155</f>
        <v>0</v>
      </c>
      <c r="F167" s="482"/>
    </row>
    <row r="168" spans="1:6" ht="15.6" x14ac:dyDescent="0.3">
      <c r="A168" s="967" t="s">
        <v>626</v>
      </c>
      <c r="B168" s="968"/>
      <c r="C168" s="969"/>
      <c r="D168" s="969"/>
      <c r="E168" s="970"/>
    </row>
    <row r="169" spans="1:6" ht="48" hidden="1" customHeight="1" thickBot="1" x14ac:dyDescent="0.35">
      <c r="A169" s="455" t="s">
        <v>577</v>
      </c>
      <c r="B169" s="456" t="s">
        <v>17</v>
      </c>
      <c r="C169" s="465"/>
      <c r="D169" s="453" t="s">
        <v>579</v>
      </c>
      <c r="E169" s="447" t="s">
        <v>627</v>
      </c>
    </row>
    <row r="170" spans="1:6" ht="93.6" hidden="1" x14ac:dyDescent="0.3">
      <c r="A170" s="455" t="s">
        <v>577</v>
      </c>
      <c r="B170" s="689" t="s">
        <v>33</v>
      </c>
      <c r="C170" s="626"/>
      <c r="D170" s="626" t="s">
        <v>766</v>
      </c>
      <c r="E170" s="568" t="s">
        <v>771</v>
      </c>
    </row>
    <row r="171" spans="1:6" ht="93.6" hidden="1" x14ac:dyDescent="0.3">
      <c r="A171" s="463" t="s">
        <v>618</v>
      </c>
      <c r="B171" s="613" t="s">
        <v>703</v>
      </c>
      <c r="C171" s="461"/>
      <c r="D171" s="570" t="s">
        <v>766</v>
      </c>
      <c r="E171" s="568" t="s">
        <v>772</v>
      </c>
    </row>
    <row r="172" spans="1:6" ht="66" hidden="1" customHeight="1" thickBot="1" x14ac:dyDescent="0.35">
      <c r="A172" s="467" t="s">
        <v>577</v>
      </c>
      <c r="B172" s="801" t="s">
        <v>78</v>
      </c>
      <c r="C172" s="737"/>
      <c r="D172" s="785" t="s">
        <v>823</v>
      </c>
      <c r="E172" s="474" t="s">
        <v>822</v>
      </c>
    </row>
    <row r="173" spans="1:6" ht="72" hidden="1" customHeight="1" x14ac:dyDescent="0.3">
      <c r="A173" s="455" t="s">
        <v>577</v>
      </c>
      <c r="B173" s="763" t="s">
        <v>87</v>
      </c>
      <c r="C173" s="764"/>
      <c r="D173" s="802" t="s">
        <v>839</v>
      </c>
      <c r="E173" s="765" t="s">
        <v>864</v>
      </c>
    </row>
    <row r="174" spans="1:6" ht="105.6" hidden="1" customHeight="1" x14ac:dyDescent="0.3">
      <c r="A174" s="450" t="s">
        <v>577</v>
      </c>
      <c r="B174" s="460" t="s">
        <v>87</v>
      </c>
      <c r="C174" s="465"/>
      <c r="D174" s="626" t="s">
        <v>788</v>
      </c>
      <c r="E174" s="697" t="s">
        <v>794</v>
      </c>
    </row>
    <row r="175" spans="1:6" ht="45.6" hidden="1" customHeight="1" x14ac:dyDescent="0.3">
      <c r="A175" s="450" t="s">
        <v>577</v>
      </c>
      <c r="B175" s="460" t="s">
        <v>87</v>
      </c>
      <c r="C175" s="626"/>
      <c r="D175" s="626" t="s">
        <v>839</v>
      </c>
      <c r="E175" s="698" t="s">
        <v>860</v>
      </c>
    </row>
    <row r="176" spans="1:6" ht="102" hidden="1" customHeight="1" x14ac:dyDescent="0.3">
      <c r="A176" s="450" t="s">
        <v>577</v>
      </c>
      <c r="B176" s="460" t="s">
        <v>87</v>
      </c>
      <c r="C176" s="465"/>
      <c r="D176" s="465" t="s">
        <v>586</v>
      </c>
      <c r="E176" s="454" t="s">
        <v>628</v>
      </c>
    </row>
    <row r="177" spans="1:5" ht="102" hidden="1" customHeight="1" x14ac:dyDescent="0.3">
      <c r="A177" s="450" t="s">
        <v>577</v>
      </c>
      <c r="B177" s="460" t="s">
        <v>587</v>
      </c>
      <c r="C177" s="465"/>
      <c r="D177" s="465" t="s">
        <v>629</v>
      </c>
      <c r="E177" s="447" t="s">
        <v>630</v>
      </c>
    </row>
    <row r="178" spans="1:5" ht="82.2" customHeight="1" x14ac:dyDescent="0.3">
      <c r="A178" s="817" t="s">
        <v>577</v>
      </c>
      <c r="B178" s="818" t="s">
        <v>100</v>
      </c>
      <c r="C178" s="753">
        <v>36780</v>
      </c>
      <c r="D178" s="626" t="s">
        <v>997</v>
      </c>
      <c r="E178" s="838" t="s">
        <v>1070</v>
      </c>
    </row>
    <row r="179" spans="1:5" ht="43.2" hidden="1" customHeight="1" x14ac:dyDescent="0.3">
      <c r="A179" s="450" t="s">
        <v>577</v>
      </c>
      <c r="B179" s="460" t="s">
        <v>420</v>
      </c>
      <c r="C179" s="839"/>
      <c r="D179" s="626" t="s">
        <v>935</v>
      </c>
      <c r="E179" s="819" t="s">
        <v>934</v>
      </c>
    </row>
    <row r="180" spans="1:5" ht="102" hidden="1" customHeight="1" x14ac:dyDescent="0.3">
      <c r="A180" s="450" t="s">
        <v>577</v>
      </c>
      <c r="B180" s="460" t="s">
        <v>550</v>
      </c>
      <c r="C180" s="626"/>
      <c r="D180" s="626" t="s">
        <v>839</v>
      </c>
      <c r="E180" s="488" t="s">
        <v>826</v>
      </c>
    </row>
    <row r="181" spans="1:5" ht="62.4" hidden="1" x14ac:dyDescent="0.3">
      <c r="A181" s="450" t="s">
        <v>577</v>
      </c>
      <c r="B181" s="460" t="s">
        <v>550</v>
      </c>
      <c r="C181" s="465"/>
      <c r="D181" s="487" t="s">
        <v>818</v>
      </c>
      <c r="E181" s="488" t="s">
        <v>863</v>
      </c>
    </row>
    <row r="182" spans="1:5" ht="60" customHeight="1" x14ac:dyDescent="0.3">
      <c r="A182" s="450" t="s">
        <v>577</v>
      </c>
      <c r="B182" s="452" t="s">
        <v>790</v>
      </c>
      <c r="C182" s="511">
        <v>128000</v>
      </c>
      <c r="D182" s="570" t="s">
        <v>1009</v>
      </c>
      <c r="E182" s="512" t="s">
        <v>1021</v>
      </c>
    </row>
    <row r="183" spans="1:5" ht="31.8" hidden="1" thickBot="1" x14ac:dyDescent="0.35">
      <c r="A183" s="450" t="s">
        <v>577</v>
      </c>
      <c r="B183" s="452" t="s">
        <v>420</v>
      </c>
      <c r="C183" s="451"/>
      <c r="D183" s="764" t="s">
        <v>818</v>
      </c>
      <c r="E183" s="454" t="s">
        <v>650</v>
      </c>
    </row>
    <row r="184" spans="1:5" ht="35.4" hidden="1" customHeight="1" thickBot="1" x14ac:dyDescent="0.35">
      <c r="A184" s="450" t="s">
        <v>577</v>
      </c>
      <c r="B184" s="510" t="s">
        <v>423</v>
      </c>
      <c r="C184" s="511"/>
      <c r="D184" s="764" t="s">
        <v>818</v>
      </c>
      <c r="E184" s="512" t="s">
        <v>659</v>
      </c>
    </row>
    <row r="185" spans="1:5" ht="120.6" hidden="1" customHeight="1" thickBot="1" x14ac:dyDescent="0.35">
      <c r="A185" s="450" t="s">
        <v>577</v>
      </c>
      <c r="B185" s="452" t="s">
        <v>133</v>
      </c>
      <c r="C185" s="451"/>
      <c r="D185" s="764" t="s">
        <v>907</v>
      </c>
      <c r="E185" s="698" t="s">
        <v>909</v>
      </c>
    </row>
    <row r="186" spans="1:5" ht="118.2" hidden="1" customHeight="1" thickBot="1" x14ac:dyDescent="0.35">
      <c r="A186" s="450" t="s">
        <v>577</v>
      </c>
      <c r="B186" s="452" t="s">
        <v>133</v>
      </c>
      <c r="C186" s="451"/>
      <c r="D186" s="764" t="s">
        <v>907</v>
      </c>
      <c r="E186" s="698" t="s">
        <v>908</v>
      </c>
    </row>
    <row r="187" spans="1:5" ht="102" hidden="1" customHeight="1" x14ac:dyDescent="0.3">
      <c r="A187" s="450" t="s">
        <v>577</v>
      </c>
      <c r="B187" s="460" t="s">
        <v>540</v>
      </c>
      <c r="C187" s="451"/>
      <c r="D187" s="764" t="s">
        <v>818</v>
      </c>
      <c r="E187" s="454" t="s">
        <v>631</v>
      </c>
    </row>
    <row r="188" spans="1:5" ht="78.599999999999994" hidden="1" thickBot="1" x14ac:dyDescent="0.35">
      <c r="A188" s="450" t="s">
        <v>577</v>
      </c>
      <c r="B188" s="460" t="s">
        <v>104</v>
      </c>
      <c r="C188" s="451"/>
      <c r="D188" s="487" t="s">
        <v>845</v>
      </c>
      <c r="E188" s="750" t="s">
        <v>865</v>
      </c>
    </row>
    <row r="189" spans="1:5" ht="93.6" hidden="1" x14ac:dyDescent="0.3">
      <c r="A189" s="450" t="s">
        <v>577</v>
      </c>
      <c r="B189" s="460" t="s">
        <v>104</v>
      </c>
      <c r="C189" s="451"/>
      <c r="D189" s="764" t="s">
        <v>818</v>
      </c>
      <c r="E189" s="447" t="s">
        <v>632</v>
      </c>
    </row>
    <row r="190" spans="1:5" ht="74.400000000000006" hidden="1" customHeight="1" x14ac:dyDescent="0.3">
      <c r="A190" s="462" t="s">
        <v>577</v>
      </c>
      <c r="B190" s="745" t="s">
        <v>877</v>
      </c>
      <c r="C190" s="511"/>
      <c r="D190" s="487" t="s">
        <v>885</v>
      </c>
      <c r="E190" s="786" t="s">
        <v>878</v>
      </c>
    </row>
    <row r="191" spans="1:5" ht="93.6" hidden="1" x14ac:dyDescent="0.3">
      <c r="A191" s="805" t="s">
        <v>577</v>
      </c>
      <c r="B191" s="806" t="s">
        <v>884</v>
      </c>
      <c r="C191" s="808"/>
      <c r="D191" s="487" t="s">
        <v>876</v>
      </c>
      <c r="E191" s="807" t="s">
        <v>889</v>
      </c>
    </row>
    <row r="192" spans="1:5" ht="62.4" x14ac:dyDescent="0.3">
      <c r="A192" s="682" t="s">
        <v>604</v>
      </c>
      <c r="B192" s="745" t="s">
        <v>146</v>
      </c>
      <c r="C192" s="487">
        <v>-137580</v>
      </c>
      <c r="D192" s="487" t="s">
        <v>931</v>
      </c>
      <c r="E192" s="488" t="s">
        <v>932</v>
      </c>
    </row>
    <row r="193" spans="1:5" ht="69.599999999999994" customHeight="1" x14ac:dyDescent="0.3">
      <c r="A193" s="682" t="s">
        <v>604</v>
      </c>
      <c r="B193" s="745" t="s">
        <v>930</v>
      </c>
      <c r="C193" s="753">
        <v>44500</v>
      </c>
      <c r="D193" s="487" t="s">
        <v>929</v>
      </c>
      <c r="E193" s="512" t="s">
        <v>1041</v>
      </c>
    </row>
    <row r="194" spans="1:5" ht="70.8" customHeight="1" x14ac:dyDescent="0.3">
      <c r="A194" s="450" t="s">
        <v>604</v>
      </c>
      <c r="B194" s="460" t="s">
        <v>633</v>
      </c>
      <c r="C194" s="451">
        <v>250000</v>
      </c>
      <c r="D194" s="487" t="s">
        <v>931</v>
      </c>
      <c r="E194" s="512" t="s">
        <v>1032</v>
      </c>
    </row>
    <row r="195" spans="1:5" ht="73.2" customHeight="1" x14ac:dyDescent="0.3">
      <c r="A195" s="450" t="s">
        <v>604</v>
      </c>
      <c r="B195" s="460" t="s">
        <v>633</v>
      </c>
      <c r="C195" s="487">
        <v>137580</v>
      </c>
      <c r="D195" s="487" t="s">
        <v>931</v>
      </c>
      <c r="E195" s="488" t="s">
        <v>933</v>
      </c>
    </row>
    <row r="196" spans="1:5" ht="70.8" customHeight="1" thickBot="1" x14ac:dyDescent="0.35">
      <c r="A196" s="450" t="s">
        <v>604</v>
      </c>
      <c r="B196" s="460" t="s">
        <v>633</v>
      </c>
      <c r="C196" s="451">
        <v>197081</v>
      </c>
      <c r="D196" s="487" t="s">
        <v>931</v>
      </c>
      <c r="E196" s="614" t="s">
        <v>1033</v>
      </c>
    </row>
    <row r="197" spans="1:5" ht="15.6" hidden="1" x14ac:dyDescent="0.3">
      <c r="A197" s="450"/>
      <c r="B197" s="452"/>
      <c r="C197" s="451"/>
      <c r="D197" s="487"/>
      <c r="E197" s="816"/>
    </row>
    <row r="198" spans="1:5" ht="15.6" hidden="1" x14ac:dyDescent="0.3">
      <c r="A198" s="450"/>
      <c r="B198" s="452"/>
      <c r="C198" s="451"/>
      <c r="D198" s="487"/>
      <c r="E198" s="816"/>
    </row>
    <row r="199" spans="1:5" ht="15.6" hidden="1" x14ac:dyDescent="0.3">
      <c r="A199" s="450"/>
      <c r="B199" s="452"/>
      <c r="C199" s="451"/>
      <c r="D199" s="487"/>
      <c r="E199" s="816"/>
    </row>
    <row r="200" spans="1:5" ht="15.6" hidden="1" x14ac:dyDescent="0.3">
      <c r="A200" s="450"/>
      <c r="B200" s="452"/>
      <c r="C200" s="451"/>
      <c r="D200" s="487"/>
      <c r="E200" s="816"/>
    </row>
    <row r="201" spans="1:5" ht="15.6" hidden="1" x14ac:dyDescent="0.3">
      <c r="A201" s="450"/>
      <c r="B201" s="452"/>
      <c r="C201" s="451"/>
      <c r="D201" s="487"/>
      <c r="E201" s="816"/>
    </row>
    <row r="202" spans="1:5" ht="15.6" hidden="1" x14ac:dyDescent="0.3">
      <c r="A202" s="450"/>
      <c r="B202" s="452"/>
      <c r="C202" s="451"/>
      <c r="D202" s="487"/>
      <c r="E202" s="816"/>
    </row>
    <row r="203" spans="1:5" ht="15.6" hidden="1" x14ac:dyDescent="0.3">
      <c r="A203" s="450"/>
      <c r="B203" s="452"/>
      <c r="C203" s="451"/>
      <c r="D203" s="487"/>
      <c r="E203" s="816"/>
    </row>
    <row r="204" spans="1:5" ht="15.6" hidden="1" x14ac:dyDescent="0.3">
      <c r="A204" s="450"/>
      <c r="B204" s="452"/>
      <c r="C204" s="451"/>
      <c r="D204" s="487"/>
      <c r="E204" s="816"/>
    </row>
    <row r="205" spans="1:5" ht="124.8" hidden="1" x14ac:dyDescent="0.3">
      <c r="A205" s="450" t="s">
        <v>569</v>
      </c>
      <c r="B205" s="452" t="s">
        <v>728</v>
      </c>
      <c r="C205" s="511"/>
      <c r="D205" s="746" t="s">
        <v>888</v>
      </c>
      <c r="E205" s="488" t="s">
        <v>875</v>
      </c>
    </row>
    <row r="206" spans="1:5" ht="94.5" hidden="1" customHeight="1" x14ac:dyDescent="0.3">
      <c r="A206" s="450" t="s">
        <v>569</v>
      </c>
      <c r="B206" s="452" t="s">
        <v>727</v>
      </c>
      <c r="C206" s="458"/>
      <c r="D206" s="453" t="s">
        <v>711</v>
      </c>
      <c r="E206" s="614" t="s">
        <v>735</v>
      </c>
    </row>
    <row r="207" spans="1:5" ht="126" hidden="1" customHeight="1" x14ac:dyDescent="0.3">
      <c r="A207" s="450" t="s">
        <v>569</v>
      </c>
      <c r="B207" s="452" t="s">
        <v>727</v>
      </c>
      <c r="C207" s="511"/>
      <c r="D207" s="453" t="s">
        <v>713</v>
      </c>
      <c r="E207" s="488" t="s">
        <v>747</v>
      </c>
    </row>
    <row r="208" spans="1:5" ht="78.75" hidden="1" customHeight="1" x14ac:dyDescent="0.3">
      <c r="A208" s="450" t="s">
        <v>604</v>
      </c>
      <c r="B208" s="460" t="s">
        <v>633</v>
      </c>
      <c r="C208" s="464"/>
      <c r="D208" s="453" t="s">
        <v>614</v>
      </c>
      <c r="E208" s="447" t="s">
        <v>634</v>
      </c>
    </row>
    <row r="209" spans="1:6" ht="63" hidden="1" customHeight="1" x14ac:dyDescent="0.3">
      <c r="A209" s="463" t="s">
        <v>618</v>
      </c>
      <c r="B209" s="452" t="s">
        <v>620</v>
      </c>
      <c r="C209" s="569"/>
      <c r="D209" s="570" t="s">
        <v>646</v>
      </c>
      <c r="E209" s="568" t="s">
        <v>685</v>
      </c>
    </row>
    <row r="210" spans="1:6" ht="31.5" hidden="1" customHeight="1" x14ac:dyDescent="0.3">
      <c r="A210" s="467" t="s">
        <v>622</v>
      </c>
      <c r="B210" s="472" t="s">
        <v>623</v>
      </c>
      <c r="C210" s="464"/>
      <c r="D210" s="473" t="s">
        <v>635</v>
      </c>
      <c r="E210" s="474" t="s">
        <v>636</v>
      </c>
    </row>
    <row r="211" spans="1:6" ht="63" hidden="1" customHeight="1" x14ac:dyDescent="0.3">
      <c r="A211" s="467" t="s">
        <v>622</v>
      </c>
      <c r="B211" s="472" t="s">
        <v>462</v>
      </c>
      <c r="C211" s="464"/>
      <c r="D211" s="473" t="s">
        <v>637</v>
      </c>
      <c r="E211" s="475" t="s">
        <v>638</v>
      </c>
    </row>
    <row r="212" spans="1:6" ht="63" hidden="1" customHeight="1" x14ac:dyDescent="0.3">
      <c r="A212" s="450" t="s">
        <v>622</v>
      </c>
      <c r="B212" s="472" t="s">
        <v>469</v>
      </c>
      <c r="C212" s="464"/>
      <c r="D212" s="473" t="s">
        <v>637</v>
      </c>
      <c r="E212" s="475" t="s">
        <v>639</v>
      </c>
    </row>
    <row r="213" spans="1:6" ht="48" hidden="1" customHeight="1" thickBot="1" x14ac:dyDescent="0.35">
      <c r="A213" s="476" t="s">
        <v>622</v>
      </c>
      <c r="B213" s="477" t="s">
        <v>473</v>
      </c>
      <c r="C213" s="464"/>
      <c r="D213" s="478" t="s">
        <v>640</v>
      </c>
      <c r="E213" s="454" t="s">
        <v>641</v>
      </c>
    </row>
    <row r="214" spans="1:6" ht="16.2" thickBot="1" x14ac:dyDescent="0.35">
      <c r="A214" s="952" t="s">
        <v>625</v>
      </c>
      <c r="B214" s="953"/>
      <c r="C214" s="479">
        <f>SUM(C169:C213)</f>
        <v>656361</v>
      </c>
      <c r="D214" s="480">
        <f>C214-C178</f>
        <v>619581</v>
      </c>
      <c r="E214" s="481">
        <v>7537.52</v>
      </c>
      <c r="F214" s="482"/>
    </row>
    <row r="215" spans="1:6" ht="16.2" thickBot="1" x14ac:dyDescent="0.35">
      <c r="A215" s="954" t="s">
        <v>642</v>
      </c>
      <c r="B215" s="955"/>
      <c r="C215" s="469">
        <f>C167+C214</f>
        <v>4448832.1400000006</v>
      </c>
      <c r="D215" s="483">
        <f>C214-D214</f>
        <v>36780</v>
      </c>
      <c r="E215" s="484">
        <v>406352.14</v>
      </c>
    </row>
    <row r="216" spans="1:6" ht="46.95" hidden="1" customHeight="1" x14ac:dyDescent="0.3">
      <c r="A216" s="956" t="s">
        <v>720</v>
      </c>
      <c r="B216" s="957"/>
      <c r="C216" s="957"/>
      <c r="D216" s="957"/>
      <c r="E216" s="957"/>
    </row>
    <row r="217" spans="1:6" ht="27" customHeight="1" x14ac:dyDescent="0.3">
      <c r="A217" s="958" t="s">
        <v>643</v>
      </c>
      <c r="B217" s="958"/>
      <c r="C217" s="958"/>
      <c r="D217" s="958"/>
      <c r="E217" s="958"/>
    </row>
    <row r="218" spans="1:6" ht="15.6" hidden="1" x14ac:dyDescent="0.3">
      <c r="A218" s="433"/>
      <c r="B218" s="434"/>
      <c r="C218" s="435">
        <f>D214+'Дод 1'!C97</f>
        <v>4619581</v>
      </c>
      <c r="D218" s="436">
        <f>C215-D214-'Дод 1'!C97</f>
        <v>-170748.8599999994</v>
      </c>
      <c r="E218" s="436"/>
    </row>
    <row r="219" spans="1:6" hidden="1" x14ac:dyDescent="0.3">
      <c r="C219" s="486">
        <f>C214+355196</f>
        <v>1011557</v>
      </c>
      <c r="E219" s="482"/>
    </row>
    <row r="220" spans="1:6" hidden="1" x14ac:dyDescent="0.3">
      <c r="C220" s="486">
        <f>D214-C219</f>
        <v>-391976</v>
      </c>
    </row>
    <row r="221" spans="1:6" hidden="1" x14ac:dyDescent="0.3">
      <c r="C221" s="486">
        <f>'Дод 1'!C97-C215</f>
        <v>-448832.1400000006</v>
      </c>
      <c r="D221" s="482">
        <f>E215+D215</f>
        <v>443132.14</v>
      </c>
    </row>
    <row r="222" spans="1:6" hidden="1" x14ac:dyDescent="0.3">
      <c r="E222" s="438" t="s">
        <v>825</v>
      </c>
    </row>
    <row r="223" spans="1:6" hidden="1" x14ac:dyDescent="0.3">
      <c r="C223" s="486">
        <f>C221+D215</f>
        <v>-412052.1400000006</v>
      </c>
    </row>
    <row r="224" spans="1:6" hidden="1" x14ac:dyDescent="0.3">
      <c r="C224" s="486">
        <f>C223+E215</f>
        <v>-5700.0000000005821</v>
      </c>
      <c r="D224" s="482">
        <f>C215-'дод 3 '!R155</f>
        <v>0</v>
      </c>
    </row>
  </sheetData>
  <autoFilter ref="A6:E205"/>
  <mergeCells count="10">
    <mergeCell ref="A214:B214"/>
    <mergeCell ref="A215:B215"/>
    <mergeCell ref="A216:E216"/>
    <mergeCell ref="A217:E217"/>
    <mergeCell ref="A2:E2"/>
    <mergeCell ref="A3:E3"/>
    <mergeCell ref="A4:C4"/>
    <mergeCell ref="A5:C5"/>
    <mergeCell ref="A167:B167"/>
    <mergeCell ref="A168:E168"/>
  </mergeCells>
  <pageMargins left="1.1811023622047245" right="0.39370078740157483" top="0.59055118110236227" bottom="0.59055118110236227" header="0.23622047244094491" footer="0.19685039370078741"/>
  <pageSetup paperSize="9" scale="78" fitToHeight="8" orientation="landscape" horizontalDpi="360" verticalDpi="36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view="pageBreakPreview" topLeftCell="B1" zoomScale="60" zoomScaleNormal="100" workbookViewId="0">
      <selection activeCell="B4" sqref="B4:I4"/>
    </sheetView>
  </sheetViews>
  <sheetFormatPr defaultRowHeight="13.8" x14ac:dyDescent="0.3"/>
  <cols>
    <col min="1" max="1" width="0" hidden="1" customWidth="1"/>
    <col min="2" max="2" width="12.33203125" customWidth="1"/>
    <col min="3" max="3" width="50.6640625" style="823" customWidth="1"/>
    <col min="4" max="4" width="16" style="825" customWidth="1"/>
    <col min="5" max="5" width="17.33203125" style="825" customWidth="1"/>
    <col min="6" max="6" width="19.33203125" style="825" customWidth="1"/>
    <col min="7" max="7" width="20.6640625" style="825" customWidth="1"/>
    <col min="8" max="8" width="11.88671875" style="825" bestFit="1" customWidth="1"/>
    <col min="9" max="9" width="11.88671875" style="825" customWidth="1"/>
  </cols>
  <sheetData>
    <row r="1" spans="1:9" x14ac:dyDescent="0.3">
      <c r="G1" s="835" t="s">
        <v>1063</v>
      </c>
    </row>
    <row r="2" spans="1:9" x14ac:dyDescent="0.3">
      <c r="G2" s="835" t="s">
        <v>866</v>
      </c>
    </row>
    <row r="3" spans="1:9" x14ac:dyDescent="0.3">
      <c r="B3" s="820"/>
      <c r="C3" s="821"/>
      <c r="D3" s="822"/>
      <c r="E3" s="822"/>
      <c r="F3" s="822"/>
      <c r="G3" s="836" t="s">
        <v>1029</v>
      </c>
      <c r="H3" s="822"/>
      <c r="I3" s="822"/>
    </row>
    <row r="4" spans="1:9" ht="23.4" x14ac:dyDescent="0.45">
      <c r="B4" s="971" t="s">
        <v>936</v>
      </c>
      <c r="C4" s="972"/>
      <c r="D4" s="972"/>
      <c r="E4" s="972"/>
      <c r="F4" s="972"/>
      <c r="G4" s="972"/>
      <c r="H4" s="972"/>
      <c r="I4" s="972"/>
    </row>
    <row r="5" spans="1:9" ht="48" customHeight="1" x14ac:dyDescent="0.35">
      <c r="B5" s="973" t="s">
        <v>937</v>
      </c>
      <c r="C5" s="974"/>
      <c r="D5" s="974"/>
      <c r="E5" s="974"/>
      <c r="F5" s="974"/>
      <c r="G5" s="974"/>
      <c r="H5" s="974"/>
      <c r="I5" s="974"/>
    </row>
    <row r="6" spans="1:9" x14ac:dyDescent="0.3">
      <c r="D6" s="824"/>
      <c r="I6" s="825" t="s">
        <v>938</v>
      </c>
    </row>
    <row r="7" spans="1:9" s="830" customFormat="1" ht="73.5" customHeight="1" x14ac:dyDescent="0.3">
      <c r="A7" s="826"/>
      <c r="B7" s="827" t="s">
        <v>939</v>
      </c>
      <c r="C7" s="828" t="s">
        <v>940</v>
      </c>
      <c r="D7" s="828" t="s">
        <v>941</v>
      </c>
      <c r="E7" s="828" t="s">
        <v>942</v>
      </c>
      <c r="F7" s="828" t="s">
        <v>943</v>
      </c>
      <c r="G7" s="828" t="s">
        <v>944</v>
      </c>
      <c r="H7" s="829" t="s">
        <v>945</v>
      </c>
      <c r="I7" s="829" t="s">
        <v>946</v>
      </c>
    </row>
    <row r="8" spans="1:9" x14ac:dyDescent="0.3">
      <c r="A8" s="831">
        <v>1</v>
      </c>
      <c r="B8" s="831" t="s">
        <v>191</v>
      </c>
      <c r="C8" s="832" t="s">
        <v>192</v>
      </c>
      <c r="D8" s="833">
        <v>120358716</v>
      </c>
      <c r="E8" s="833">
        <v>120358716</v>
      </c>
      <c r="F8" s="833">
        <v>73744400</v>
      </c>
      <c r="G8" s="833">
        <v>77511068.610000014</v>
      </c>
      <c r="H8" s="834">
        <f t="shared" ref="H8:H68" si="0">G8-F8</f>
        <v>3766668.6100000143</v>
      </c>
      <c r="I8" s="834">
        <f t="shared" ref="I8:I68" si="1">IF(F8=0,0,G8/F8*100)</f>
        <v>105.10773510937781</v>
      </c>
    </row>
    <row r="9" spans="1:9" ht="27.6" x14ac:dyDescent="0.3">
      <c r="A9" s="831">
        <v>1</v>
      </c>
      <c r="B9" s="831" t="s">
        <v>193</v>
      </c>
      <c r="C9" s="832" t="s">
        <v>194</v>
      </c>
      <c r="D9" s="833">
        <v>72812100</v>
      </c>
      <c r="E9" s="833">
        <v>72812100</v>
      </c>
      <c r="F9" s="833">
        <v>43586700</v>
      </c>
      <c r="G9" s="833">
        <v>39283551.200000003</v>
      </c>
      <c r="H9" s="834">
        <f t="shared" si="0"/>
        <v>-4303148.799999997</v>
      </c>
      <c r="I9" s="834">
        <f t="shared" si="1"/>
        <v>90.127381058901008</v>
      </c>
    </row>
    <row r="10" spans="1:9" x14ac:dyDescent="0.3">
      <c r="A10" s="831">
        <v>1</v>
      </c>
      <c r="B10" s="831" t="s">
        <v>195</v>
      </c>
      <c r="C10" s="832" t="s">
        <v>196</v>
      </c>
      <c r="D10" s="833">
        <v>72800000</v>
      </c>
      <c r="E10" s="833">
        <v>72800000</v>
      </c>
      <c r="F10" s="833">
        <v>43574600</v>
      </c>
      <c r="G10" s="833">
        <v>39283551.200000003</v>
      </c>
      <c r="H10" s="834">
        <f t="shared" si="0"/>
        <v>-4291048.799999997</v>
      </c>
      <c r="I10" s="834">
        <f t="shared" si="1"/>
        <v>90.152408054233433</v>
      </c>
    </row>
    <row r="11" spans="1:9" ht="41.4" x14ac:dyDescent="0.3">
      <c r="A11" s="831">
        <v>0</v>
      </c>
      <c r="B11" s="831" t="s">
        <v>197</v>
      </c>
      <c r="C11" s="832" t="s">
        <v>198</v>
      </c>
      <c r="D11" s="833">
        <v>60000000</v>
      </c>
      <c r="E11" s="833">
        <v>60000000</v>
      </c>
      <c r="F11" s="833">
        <v>37662600</v>
      </c>
      <c r="G11" s="833">
        <v>32885488.789999999</v>
      </c>
      <c r="H11" s="834">
        <f t="shared" si="0"/>
        <v>-4777111.2100000009</v>
      </c>
      <c r="I11" s="834">
        <f t="shared" si="1"/>
        <v>87.316034447966956</v>
      </c>
    </row>
    <row r="12" spans="1:9" ht="69" x14ac:dyDescent="0.3">
      <c r="A12" s="831">
        <v>0</v>
      </c>
      <c r="B12" s="831" t="s">
        <v>199</v>
      </c>
      <c r="C12" s="832" t="s">
        <v>200</v>
      </c>
      <c r="D12" s="833">
        <v>3000000</v>
      </c>
      <c r="E12" s="833">
        <v>3000000</v>
      </c>
      <c r="F12" s="833">
        <v>1899700</v>
      </c>
      <c r="G12" s="833">
        <v>1849150.84</v>
      </c>
      <c r="H12" s="834">
        <f t="shared" si="0"/>
        <v>-50549.159999999916</v>
      </c>
      <c r="I12" s="834">
        <f t="shared" si="1"/>
        <v>97.339097752276686</v>
      </c>
    </row>
    <row r="13" spans="1:9" ht="41.4" x14ac:dyDescent="0.3">
      <c r="A13" s="831">
        <v>0</v>
      </c>
      <c r="B13" s="831" t="s">
        <v>201</v>
      </c>
      <c r="C13" s="832" t="s">
        <v>202</v>
      </c>
      <c r="D13" s="833">
        <v>8700000</v>
      </c>
      <c r="E13" s="833">
        <v>8700000</v>
      </c>
      <c r="F13" s="833">
        <v>3151100</v>
      </c>
      <c r="G13" s="833">
        <v>3959408.81</v>
      </c>
      <c r="H13" s="834">
        <f t="shared" si="0"/>
        <v>808308.81</v>
      </c>
      <c r="I13" s="834">
        <f t="shared" si="1"/>
        <v>125.65163942750151</v>
      </c>
    </row>
    <row r="14" spans="1:9" ht="27.6" x14ac:dyDescent="0.3">
      <c r="A14" s="831">
        <v>0</v>
      </c>
      <c r="B14" s="831" t="s">
        <v>203</v>
      </c>
      <c r="C14" s="832" t="s">
        <v>204</v>
      </c>
      <c r="D14" s="833">
        <v>1100000</v>
      </c>
      <c r="E14" s="833">
        <v>1100000</v>
      </c>
      <c r="F14" s="833">
        <v>861200</v>
      </c>
      <c r="G14" s="833">
        <v>584232.25</v>
      </c>
      <c r="H14" s="834">
        <f t="shared" si="0"/>
        <v>-276967.75</v>
      </c>
      <c r="I14" s="834">
        <f t="shared" si="1"/>
        <v>67.839323037621924</v>
      </c>
    </row>
    <row r="15" spans="1:9" ht="41.4" x14ac:dyDescent="0.3">
      <c r="A15" s="831">
        <v>0</v>
      </c>
      <c r="B15" s="831" t="s">
        <v>947</v>
      </c>
      <c r="C15" s="832" t="s">
        <v>948</v>
      </c>
      <c r="D15" s="833">
        <v>0</v>
      </c>
      <c r="E15" s="833">
        <v>0</v>
      </c>
      <c r="F15" s="833">
        <v>0</v>
      </c>
      <c r="G15" s="833">
        <v>5270.51</v>
      </c>
      <c r="H15" s="834">
        <f t="shared" si="0"/>
        <v>5270.51</v>
      </c>
      <c r="I15" s="834">
        <f t="shared" si="1"/>
        <v>0</v>
      </c>
    </row>
    <row r="16" spans="1:9" x14ac:dyDescent="0.3">
      <c r="A16" s="831">
        <v>1</v>
      </c>
      <c r="B16" s="831" t="s">
        <v>949</v>
      </c>
      <c r="C16" s="832" t="s">
        <v>207</v>
      </c>
      <c r="D16" s="833">
        <v>12100</v>
      </c>
      <c r="E16" s="833">
        <v>12100</v>
      </c>
      <c r="F16" s="833">
        <v>12100</v>
      </c>
      <c r="G16" s="833">
        <v>0</v>
      </c>
      <c r="H16" s="834">
        <f t="shared" si="0"/>
        <v>-12100</v>
      </c>
      <c r="I16" s="834">
        <f t="shared" si="1"/>
        <v>0</v>
      </c>
    </row>
    <row r="17" spans="1:9" ht="27.6" x14ac:dyDescent="0.3">
      <c r="A17" s="831">
        <v>0</v>
      </c>
      <c r="B17" s="831" t="s">
        <v>950</v>
      </c>
      <c r="C17" s="832" t="s">
        <v>208</v>
      </c>
      <c r="D17" s="833">
        <v>12100</v>
      </c>
      <c r="E17" s="833">
        <v>12100</v>
      </c>
      <c r="F17" s="833">
        <v>12100</v>
      </c>
      <c r="G17" s="833">
        <v>0</v>
      </c>
      <c r="H17" s="834">
        <f t="shared" si="0"/>
        <v>-12100</v>
      </c>
      <c r="I17" s="834">
        <f t="shared" si="1"/>
        <v>0</v>
      </c>
    </row>
    <row r="18" spans="1:9" ht="27.6" x14ac:dyDescent="0.3">
      <c r="A18" s="831">
        <v>1</v>
      </c>
      <c r="B18" s="831" t="s">
        <v>951</v>
      </c>
      <c r="C18" s="832" t="s">
        <v>209</v>
      </c>
      <c r="D18" s="833">
        <v>120100</v>
      </c>
      <c r="E18" s="833">
        <v>120100</v>
      </c>
      <c r="F18" s="833">
        <v>81000</v>
      </c>
      <c r="G18" s="833">
        <v>112850.67</v>
      </c>
      <c r="H18" s="834">
        <f t="shared" si="0"/>
        <v>31850.67</v>
      </c>
      <c r="I18" s="834">
        <f t="shared" si="1"/>
        <v>139.32181481481481</v>
      </c>
    </row>
    <row r="19" spans="1:9" x14ac:dyDescent="0.3">
      <c r="A19" s="831">
        <v>1</v>
      </c>
      <c r="B19" s="831" t="s">
        <v>952</v>
      </c>
      <c r="C19" s="832" t="s">
        <v>210</v>
      </c>
      <c r="D19" s="833">
        <v>0</v>
      </c>
      <c r="E19" s="833">
        <v>0</v>
      </c>
      <c r="F19" s="833">
        <v>0</v>
      </c>
      <c r="G19" s="833">
        <v>7737.09</v>
      </c>
      <c r="H19" s="834">
        <f t="shared" si="0"/>
        <v>7737.09</v>
      </c>
      <c r="I19" s="834">
        <f t="shared" si="1"/>
        <v>0</v>
      </c>
    </row>
    <row r="20" spans="1:9" ht="41.4" x14ac:dyDescent="0.3">
      <c r="A20" s="831">
        <v>0</v>
      </c>
      <c r="B20" s="831" t="s">
        <v>953</v>
      </c>
      <c r="C20" s="832" t="s">
        <v>954</v>
      </c>
      <c r="D20" s="833">
        <v>0</v>
      </c>
      <c r="E20" s="833">
        <v>0</v>
      </c>
      <c r="F20" s="833">
        <v>0</v>
      </c>
      <c r="G20" s="833">
        <v>3492.52</v>
      </c>
      <c r="H20" s="834">
        <f t="shared" si="0"/>
        <v>3492.52</v>
      </c>
      <c r="I20" s="834">
        <f t="shared" si="1"/>
        <v>0</v>
      </c>
    </row>
    <row r="21" spans="1:9" ht="55.2" x14ac:dyDescent="0.3">
      <c r="A21" s="831">
        <v>0</v>
      </c>
      <c r="B21" s="831" t="s">
        <v>955</v>
      </c>
      <c r="C21" s="832" t="s">
        <v>211</v>
      </c>
      <c r="D21" s="833">
        <v>0</v>
      </c>
      <c r="E21" s="833">
        <v>0</v>
      </c>
      <c r="F21" s="833">
        <v>0</v>
      </c>
      <c r="G21" s="833">
        <v>4244.57</v>
      </c>
      <c r="H21" s="834">
        <f t="shared" si="0"/>
        <v>4244.57</v>
      </c>
      <c r="I21" s="834">
        <f t="shared" si="1"/>
        <v>0</v>
      </c>
    </row>
    <row r="22" spans="1:9" ht="27.6" x14ac:dyDescent="0.3">
      <c r="A22" s="831">
        <v>1</v>
      </c>
      <c r="B22" s="831" t="s">
        <v>956</v>
      </c>
      <c r="C22" s="832" t="s">
        <v>957</v>
      </c>
      <c r="D22" s="833">
        <v>120100</v>
      </c>
      <c r="E22" s="833">
        <v>120100</v>
      </c>
      <c r="F22" s="833">
        <v>81000</v>
      </c>
      <c r="G22" s="833">
        <v>105113.58</v>
      </c>
      <c r="H22" s="834">
        <f t="shared" si="0"/>
        <v>24113.58</v>
      </c>
      <c r="I22" s="834">
        <f t="shared" si="1"/>
        <v>129.76985185185185</v>
      </c>
    </row>
    <row r="23" spans="1:9" ht="27.6" x14ac:dyDescent="0.3">
      <c r="A23" s="831">
        <v>0</v>
      </c>
      <c r="B23" s="831" t="s">
        <v>958</v>
      </c>
      <c r="C23" s="832" t="s">
        <v>959</v>
      </c>
      <c r="D23" s="833">
        <v>120100</v>
      </c>
      <c r="E23" s="833">
        <v>120100</v>
      </c>
      <c r="F23" s="833">
        <v>81000</v>
      </c>
      <c r="G23" s="833">
        <v>105113.58</v>
      </c>
      <c r="H23" s="834">
        <f t="shared" si="0"/>
        <v>24113.58</v>
      </c>
      <c r="I23" s="834">
        <f t="shared" si="1"/>
        <v>129.76985185185185</v>
      </c>
    </row>
    <row r="24" spans="1:9" x14ac:dyDescent="0.3">
      <c r="A24" s="831">
        <v>1</v>
      </c>
      <c r="B24" s="831" t="s">
        <v>214</v>
      </c>
      <c r="C24" s="832" t="s">
        <v>215</v>
      </c>
      <c r="D24" s="833">
        <v>6990000</v>
      </c>
      <c r="E24" s="833">
        <v>6990000</v>
      </c>
      <c r="F24" s="833">
        <v>4325000</v>
      </c>
      <c r="G24" s="833">
        <v>3810242.16</v>
      </c>
      <c r="H24" s="834">
        <f t="shared" si="0"/>
        <v>-514757.83999999985</v>
      </c>
      <c r="I24" s="834">
        <f t="shared" si="1"/>
        <v>88.098084624277462</v>
      </c>
    </row>
    <row r="25" spans="1:9" ht="27.6" x14ac:dyDescent="0.3">
      <c r="A25" s="831">
        <v>1</v>
      </c>
      <c r="B25" s="831" t="s">
        <v>216</v>
      </c>
      <c r="C25" s="832" t="s">
        <v>960</v>
      </c>
      <c r="D25" s="833">
        <v>990000</v>
      </c>
      <c r="E25" s="833">
        <v>990000</v>
      </c>
      <c r="F25" s="833">
        <v>594000</v>
      </c>
      <c r="G25" s="833">
        <v>451247.93</v>
      </c>
      <c r="H25" s="834">
        <f t="shared" si="0"/>
        <v>-142752.07</v>
      </c>
      <c r="I25" s="834">
        <f t="shared" si="1"/>
        <v>75.96766498316498</v>
      </c>
    </row>
    <row r="26" spans="1:9" x14ac:dyDescent="0.3">
      <c r="A26" s="831">
        <v>0</v>
      </c>
      <c r="B26" s="831" t="s">
        <v>218</v>
      </c>
      <c r="C26" s="832" t="s">
        <v>219</v>
      </c>
      <c r="D26" s="833">
        <v>990000</v>
      </c>
      <c r="E26" s="833">
        <v>990000</v>
      </c>
      <c r="F26" s="833">
        <v>594000</v>
      </c>
      <c r="G26" s="833">
        <v>451247.93</v>
      </c>
      <c r="H26" s="834">
        <f t="shared" si="0"/>
        <v>-142752.07</v>
      </c>
      <c r="I26" s="834">
        <f t="shared" si="1"/>
        <v>75.96766498316498</v>
      </c>
    </row>
    <row r="27" spans="1:9" ht="27.6" x14ac:dyDescent="0.3">
      <c r="A27" s="831">
        <v>1</v>
      </c>
      <c r="B27" s="831" t="s">
        <v>220</v>
      </c>
      <c r="C27" s="832" t="s">
        <v>221</v>
      </c>
      <c r="D27" s="833">
        <v>3500000</v>
      </c>
      <c r="E27" s="833">
        <v>3500000</v>
      </c>
      <c r="F27" s="833">
        <v>2105000</v>
      </c>
      <c r="G27" s="833">
        <v>1532523.32</v>
      </c>
      <c r="H27" s="834">
        <f t="shared" si="0"/>
        <v>-572476.67999999993</v>
      </c>
      <c r="I27" s="834">
        <f t="shared" si="1"/>
        <v>72.803958194774353</v>
      </c>
    </row>
    <row r="28" spans="1:9" x14ac:dyDescent="0.3">
      <c r="A28" s="831">
        <v>0</v>
      </c>
      <c r="B28" s="831" t="s">
        <v>222</v>
      </c>
      <c r="C28" s="832" t="s">
        <v>219</v>
      </c>
      <c r="D28" s="833">
        <v>3500000</v>
      </c>
      <c r="E28" s="833">
        <v>3500000</v>
      </c>
      <c r="F28" s="833">
        <v>2105000</v>
      </c>
      <c r="G28" s="833">
        <v>1532523.32</v>
      </c>
      <c r="H28" s="834">
        <f t="shared" si="0"/>
        <v>-572476.67999999993</v>
      </c>
      <c r="I28" s="834">
        <f t="shared" si="1"/>
        <v>72.803958194774353</v>
      </c>
    </row>
    <row r="29" spans="1:9" ht="27.6" x14ac:dyDescent="0.3">
      <c r="A29" s="831">
        <v>1</v>
      </c>
      <c r="B29" s="831" t="s">
        <v>223</v>
      </c>
      <c r="C29" s="832" t="s">
        <v>961</v>
      </c>
      <c r="D29" s="833">
        <v>2500000</v>
      </c>
      <c r="E29" s="833">
        <v>2500000</v>
      </c>
      <c r="F29" s="833">
        <v>1626000</v>
      </c>
      <c r="G29" s="833">
        <v>1826470.91</v>
      </c>
      <c r="H29" s="834">
        <f t="shared" si="0"/>
        <v>200470.90999999992</v>
      </c>
      <c r="I29" s="834">
        <f t="shared" si="1"/>
        <v>112.32908425584256</v>
      </c>
    </row>
    <row r="30" spans="1:9" ht="27.6" x14ac:dyDescent="0.3">
      <c r="A30" s="831">
        <v>0</v>
      </c>
      <c r="B30" s="831" t="s">
        <v>223</v>
      </c>
      <c r="C30" s="832" t="s">
        <v>961</v>
      </c>
      <c r="D30" s="833">
        <v>2500000</v>
      </c>
      <c r="E30" s="833">
        <v>2500000</v>
      </c>
      <c r="F30" s="833">
        <v>1626000</v>
      </c>
      <c r="G30" s="833">
        <v>1826470.91</v>
      </c>
      <c r="H30" s="834">
        <f t="shared" si="0"/>
        <v>200470.90999999992</v>
      </c>
      <c r="I30" s="834">
        <f t="shared" si="1"/>
        <v>112.32908425584256</v>
      </c>
    </row>
    <row r="31" spans="1:9" ht="27.6" x14ac:dyDescent="0.3">
      <c r="A31" s="831">
        <v>1</v>
      </c>
      <c r="B31" s="831" t="s">
        <v>225</v>
      </c>
      <c r="C31" s="832" t="s">
        <v>962</v>
      </c>
      <c r="D31" s="833">
        <v>40436516</v>
      </c>
      <c r="E31" s="833">
        <v>40436516</v>
      </c>
      <c r="F31" s="833">
        <v>25751700</v>
      </c>
      <c r="G31" s="833">
        <v>34304424.579999998</v>
      </c>
      <c r="H31" s="834">
        <f t="shared" si="0"/>
        <v>8552724.5799999982</v>
      </c>
      <c r="I31" s="834">
        <f t="shared" si="1"/>
        <v>133.21227173351662</v>
      </c>
    </row>
    <row r="32" spans="1:9" x14ac:dyDescent="0.3">
      <c r="A32" s="831">
        <v>1</v>
      </c>
      <c r="B32" s="831" t="s">
        <v>227</v>
      </c>
      <c r="C32" s="832" t="s">
        <v>963</v>
      </c>
      <c r="D32" s="833">
        <v>21055516</v>
      </c>
      <c r="E32" s="833">
        <v>21055516</v>
      </c>
      <c r="F32" s="833">
        <v>14765800</v>
      </c>
      <c r="G32" s="833">
        <v>23767144.84</v>
      </c>
      <c r="H32" s="834">
        <f t="shared" si="0"/>
        <v>9001344.8399999999</v>
      </c>
      <c r="I32" s="834">
        <f t="shared" si="1"/>
        <v>160.96076636552033</v>
      </c>
    </row>
    <row r="33" spans="1:9" ht="41.4" x14ac:dyDescent="0.3">
      <c r="A33" s="831">
        <v>0</v>
      </c>
      <c r="B33" s="831" t="s">
        <v>229</v>
      </c>
      <c r="C33" s="832" t="s">
        <v>964</v>
      </c>
      <c r="D33" s="833">
        <v>18400</v>
      </c>
      <c r="E33" s="833">
        <v>18400</v>
      </c>
      <c r="F33" s="833">
        <v>13600</v>
      </c>
      <c r="G33" s="833">
        <v>27310.38</v>
      </c>
      <c r="H33" s="834">
        <f t="shared" si="0"/>
        <v>13710.380000000001</v>
      </c>
      <c r="I33" s="834">
        <f t="shared" si="1"/>
        <v>200.81161764705882</v>
      </c>
    </row>
    <row r="34" spans="1:9" ht="41.4" x14ac:dyDescent="0.3">
      <c r="A34" s="831">
        <v>0</v>
      </c>
      <c r="B34" s="831" t="s">
        <v>231</v>
      </c>
      <c r="C34" s="832" t="s">
        <v>965</v>
      </c>
      <c r="D34" s="833">
        <v>33200</v>
      </c>
      <c r="E34" s="833">
        <v>33200</v>
      </c>
      <c r="F34" s="833">
        <v>14700</v>
      </c>
      <c r="G34" s="833">
        <v>2233.6</v>
      </c>
      <c r="H34" s="834">
        <f t="shared" si="0"/>
        <v>-12466.4</v>
      </c>
      <c r="I34" s="834">
        <f t="shared" si="1"/>
        <v>15.194557823129252</v>
      </c>
    </row>
    <row r="35" spans="1:9" ht="41.4" x14ac:dyDescent="0.3">
      <c r="A35" s="831">
        <v>0</v>
      </c>
      <c r="B35" s="831" t="s">
        <v>233</v>
      </c>
      <c r="C35" s="832" t="s">
        <v>966</v>
      </c>
      <c r="D35" s="833">
        <v>29200</v>
      </c>
      <c r="E35" s="833">
        <v>29200</v>
      </c>
      <c r="F35" s="833">
        <v>18800</v>
      </c>
      <c r="G35" s="833">
        <v>2242.64</v>
      </c>
      <c r="H35" s="834">
        <f t="shared" si="0"/>
        <v>-16557.36</v>
      </c>
      <c r="I35" s="834">
        <f t="shared" si="1"/>
        <v>11.928936170212765</v>
      </c>
    </row>
    <row r="36" spans="1:9" ht="41.4" x14ac:dyDescent="0.3">
      <c r="A36" s="831">
        <v>0</v>
      </c>
      <c r="B36" s="831" t="s">
        <v>235</v>
      </c>
      <c r="C36" s="832" t="s">
        <v>967</v>
      </c>
      <c r="D36" s="833">
        <v>1173000</v>
      </c>
      <c r="E36" s="833">
        <v>1173000</v>
      </c>
      <c r="F36" s="833">
        <v>795000</v>
      </c>
      <c r="G36" s="833">
        <v>1118473.95</v>
      </c>
      <c r="H36" s="834">
        <f t="shared" si="0"/>
        <v>323473.94999999995</v>
      </c>
      <c r="I36" s="834">
        <f t="shared" si="1"/>
        <v>140.68854716981133</v>
      </c>
    </row>
    <row r="37" spans="1:9" x14ac:dyDescent="0.3">
      <c r="A37" s="831">
        <v>0</v>
      </c>
      <c r="B37" s="831" t="s">
        <v>237</v>
      </c>
      <c r="C37" s="832" t="s">
        <v>968</v>
      </c>
      <c r="D37" s="833">
        <v>3000900</v>
      </c>
      <c r="E37" s="833">
        <v>3000900</v>
      </c>
      <c r="F37" s="833">
        <v>1921100</v>
      </c>
      <c r="G37" s="833">
        <v>2977328.75</v>
      </c>
      <c r="H37" s="834">
        <f t="shared" si="0"/>
        <v>1056228.75</v>
      </c>
      <c r="I37" s="834">
        <f t="shared" si="1"/>
        <v>154.98041486648276</v>
      </c>
    </row>
    <row r="38" spans="1:9" x14ac:dyDescent="0.3">
      <c r="A38" s="831">
        <v>0</v>
      </c>
      <c r="B38" s="831" t="s">
        <v>239</v>
      </c>
      <c r="C38" s="832" t="s">
        <v>969</v>
      </c>
      <c r="D38" s="833">
        <v>13090416</v>
      </c>
      <c r="E38" s="833">
        <v>13090416</v>
      </c>
      <c r="F38" s="833">
        <v>9008900</v>
      </c>
      <c r="G38" s="833">
        <v>16033061.060000001</v>
      </c>
      <c r="H38" s="834">
        <f t="shared" si="0"/>
        <v>7024161.0600000005</v>
      </c>
      <c r="I38" s="834">
        <f t="shared" si="1"/>
        <v>177.96913119248742</v>
      </c>
    </row>
    <row r="39" spans="1:9" x14ac:dyDescent="0.3">
      <c r="A39" s="831">
        <v>0</v>
      </c>
      <c r="B39" s="831" t="s">
        <v>241</v>
      </c>
      <c r="C39" s="832" t="s">
        <v>970</v>
      </c>
      <c r="D39" s="833">
        <v>1255000</v>
      </c>
      <c r="E39" s="833">
        <v>1255000</v>
      </c>
      <c r="F39" s="833">
        <v>997300</v>
      </c>
      <c r="G39" s="833">
        <v>1181457.3600000001</v>
      </c>
      <c r="H39" s="834">
        <f t="shared" si="0"/>
        <v>184157.3600000001</v>
      </c>
      <c r="I39" s="834">
        <f t="shared" si="1"/>
        <v>118.46559310137373</v>
      </c>
    </row>
    <row r="40" spans="1:9" x14ac:dyDescent="0.3">
      <c r="A40" s="831">
        <v>0</v>
      </c>
      <c r="B40" s="831" t="s">
        <v>243</v>
      </c>
      <c r="C40" s="832" t="s">
        <v>971</v>
      </c>
      <c r="D40" s="833">
        <v>2357200</v>
      </c>
      <c r="E40" s="833">
        <v>2357200</v>
      </c>
      <c r="F40" s="833">
        <v>1925200</v>
      </c>
      <c r="G40" s="833">
        <v>2366068.77</v>
      </c>
      <c r="H40" s="834">
        <f t="shared" si="0"/>
        <v>440868.77</v>
      </c>
      <c r="I40" s="834">
        <f t="shared" si="1"/>
        <v>122.89989455640973</v>
      </c>
    </row>
    <row r="41" spans="1:9" x14ac:dyDescent="0.3">
      <c r="A41" s="831">
        <v>0</v>
      </c>
      <c r="B41" s="831" t="s">
        <v>245</v>
      </c>
      <c r="C41" s="832" t="s">
        <v>972</v>
      </c>
      <c r="D41" s="833">
        <v>17900</v>
      </c>
      <c r="E41" s="833">
        <v>17900</v>
      </c>
      <c r="F41" s="833">
        <v>17900</v>
      </c>
      <c r="G41" s="833">
        <v>0</v>
      </c>
      <c r="H41" s="834">
        <f t="shared" si="0"/>
        <v>-17900</v>
      </c>
      <c r="I41" s="834">
        <f t="shared" si="1"/>
        <v>0</v>
      </c>
    </row>
    <row r="42" spans="1:9" x14ac:dyDescent="0.3">
      <c r="A42" s="831">
        <v>0</v>
      </c>
      <c r="B42" s="831" t="s">
        <v>247</v>
      </c>
      <c r="C42" s="832" t="s">
        <v>973</v>
      </c>
      <c r="D42" s="833">
        <v>80300</v>
      </c>
      <c r="E42" s="833">
        <v>80300</v>
      </c>
      <c r="F42" s="833">
        <v>53300</v>
      </c>
      <c r="G42" s="833">
        <v>58968.33</v>
      </c>
      <c r="H42" s="834">
        <f t="shared" si="0"/>
        <v>5668.3300000000017</v>
      </c>
      <c r="I42" s="834">
        <f t="shared" si="1"/>
        <v>110.63476547842401</v>
      </c>
    </row>
    <row r="43" spans="1:9" x14ac:dyDescent="0.3">
      <c r="A43" s="831">
        <v>1</v>
      </c>
      <c r="B43" s="831" t="s">
        <v>249</v>
      </c>
      <c r="C43" s="832" t="s">
        <v>250</v>
      </c>
      <c r="D43" s="833">
        <v>19381000</v>
      </c>
      <c r="E43" s="833">
        <v>19381000</v>
      </c>
      <c r="F43" s="833">
        <v>10985900</v>
      </c>
      <c r="G43" s="833">
        <v>10537279.739999998</v>
      </c>
      <c r="H43" s="834">
        <f t="shared" si="0"/>
        <v>-448620.26000000164</v>
      </c>
      <c r="I43" s="834">
        <f t="shared" si="1"/>
        <v>95.916399566717331</v>
      </c>
    </row>
    <row r="44" spans="1:9" x14ac:dyDescent="0.3">
      <c r="A44" s="831">
        <v>0</v>
      </c>
      <c r="B44" s="831" t="s">
        <v>251</v>
      </c>
      <c r="C44" s="832" t="s">
        <v>252</v>
      </c>
      <c r="D44" s="833">
        <v>500000</v>
      </c>
      <c r="E44" s="833">
        <v>500000</v>
      </c>
      <c r="F44" s="833">
        <v>409400</v>
      </c>
      <c r="G44" s="833">
        <v>207195.93</v>
      </c>
      <c r="H44" s="834">
        <f t="shared" si="0"/>
        <v>-202204.07</v>
      </c>
      <c r="I44" s="834">
        <f t="shared" si="1"/>
        <v>50.609655593551537</v>
      </c>
    </row>
    <row r="45" spans="1:9" x14ac:dyDescent="0.3">
      <c r="A45" s="831">
        <v>0</v>
      </c>
      <c r="B45" s="831" t="s">
        <v>253</v>
      </c>
      <c r="C45" s="832" t="s">
        <v>254</v>
      </c>
      <c r="D45" s="833">
        <v>9100000</v>
      </c>
      <c r="E45" s="833">
        <v>9100000</v>
      </c>
      <c r="F45" s="833">
        <v>6020300</v>
      </c>
      <c r="G45" s="833">
        <v>5087331.09</v>
      </c>
      <c r="H45" s="834">
        <f t="shared" si="0"/>
        <v>-932968.91000000015</v>
      </c>
      <c r="I45" s="834">
        <f t="shared" si="1"/>
        <v>84.502949852997361</v>
      </c>
    </row>
    <row r="46" spans="1:9" ht="55.2" x14ac:dyDescent="0.3">
      <c r="A46" s="831">
        <v>0</v>
      </c>
      <c r="B46" s="831" t="s">
        <v>255</v>
      </c>
      <c r="C46" s="832" t="s">
        <v>974</v>
      </c>
      <c r="D46" s="833">
        <v>9781000</v>
      </c>
      <c r="E46" s="833">
        <v>9781000</v>
      </c>
      <c r="F46" s="833">
        <v>4556200</v>
      </c>
      <c r="G46" s="833">
        <v>5242752.72</v>
      </c>
      <c r="H46" s="834">
        <f t="shared" si="0"/>
        <v>686552.71999999974</v>
      </c>
      <c r="I46" s="834">
        <f t="shared" si="1"/>
        <v>115.06853781660156</v>
      </c>
    </row>
    <row r="47" spans="1:9" x14ac:dyDescent="0.3">
      <c r="A47" s="831">
        <v>1</v>
      </c>
      <c r="B47" s="831" t="s">
        <v>267</v>
      </c>
      <c r="C47" s="832" t="s">
        <v>268</v>
      </c>
      <c r="D47" s="833">
        <v>1075900</v>
      </c>
      <c r="E47" s="833">
        <v>1075900</v>
      </c>
      <c r="F47" s="833">
        <v>680500</v>
      </c>
      <c r="G47" s="833">
        <v>933582.71000000008</v>
      </c>
      <c r="H47" s="834">
        <f t="shared" si="0"/>
        <v>253082.71000000008</v>
      </c>
      <c r="I47" s="834">
        <f t="shared" si="1"/>
        <v>137.1906994856723</v>
      </c>
    </row>
    <row r="48" spans="1:9" x14ac:dyDescent="0.3">
      <c r="A48" s="831">
        <v>1</v>
      </c>
      <c r="B48" s="831" t="s">
        <v>269</v>
      </c>
      <c r="C48" s="832" t="s">
        <v>270</v>
      </c>
      <c r="D48" s="833">
        <v>185700</v>
      </c>
      <c r="E48" s="833">
        <v>185700</v>
      </c>
      <c r="F48" s="833">
        <v>128700</v>
      </c>
      <c r="G48" s="833">
        <v>166167.51</v>
      </c>
      <c r="H48" s="834">
        <f t="shared" si="0"/>
        <v>37467.510000000009</v>
      </c>
      <c r="I48" s="834">
        <f t="shared" si="1"/>
        <v>129.1122843822844</v>
      </c>
    </row>
    <row r="49" spans="1:9" x14ac:dyDescent="0.3">
      <c r="A49" s="831">
        <v>1</v>
      </c>
      <c r="B49" s="831" t="s">
        <v>271</v>
      </c>
      <c r="C49" s="832" t="s">
        <v>272</v>
      </c>
      <c r="D49" s="833">
        <v>185700</v>
      </c>
      <c r="E49" s="833">
        <v>185700</v>
      </c>
      <c r="F49" s="833">
        <v>128700</v>
      </c>
      <c r="G49" s="833">
        <v>166167.51</v>
      </c>
      <c r="H49" s="834">
        <f t="shared" si="0"/>
        <v>37467.510000000009</v>
      </c>
      <c r="I49" s="834">
        <f t="shared" si="1"/>
        <v>129.1122843822844</v>
      </c>
    </row>
    <row r="50" spans="1:9" x14ac:dyDescent="0.3">
      <c r="A50" s="831">
        <v>0</v>
      </c>
      <c r="B50" s="831" t="s">
        <v>273</v>
      </c>
      <c r="C50" s="832" t="s">
        <v>274</v>
      </c>
      <c r="D50" s="833">
        <v>62200</v>
      </c>
      <c r="E50" s="833">
        <v>62200</v>
      </c>
      <c r="F50" s="833">
        <v>26900</v>
      </c>
      <c r="G50" s="833">
        <v>148787.51</v>
      </c>
      <c r="H50" s="834">
        <f t="shared" si="0"/>
        <v>121887.51000000001</v>
      </c>
      <c r="I50" s="834">
        <f t="shared" si="1"/>
        <v>553.11342007434951</v>
      </c>
    </row>
    <row r="51" spans="1:9" ht="41.4" x14ac:dyDescent="0.3">
      <c r="A51" s="831">
        <v>0</v>
      </c>
      <c r="B51" s="831" t="s">
        <v>275</v>
      </c>
      <c r="C51" s="832" t="s">
        <v>975</v>
      </c>
      <c r="D51" s="833">
        <v>123500</v>
      </c>
      <c r="E51" s="833">
        <v>123500</v>
      </c>
      <c r="F51" s="833">
        <v>101800</v>
      </c>
      <c r="G51" s="833">
        <v>17380</v>
      </c>
      <c r="H51" s="834">
        <f t="shared" si="0"/>
        <v>-84420</v>
      </c>
      <c r="I51" s="834">
        <f t="shared" si="1"/>
        <v>17.072691552062867</v>
      </c>
    </row>
    <row r="52" spans="1:9" ht="27.6" x14ac:dyDescent="0.3">
      <c r="A52" s="831">
        <v>1</v>
      </c>
      <c r="B52" s="831" t="s">
        <v>277</v>
      </c>
      <c r="C52" s="832" t="s">
        <v>278</v>
      </c>
      <c r="D52" s="833">
        <v>890200</v>
      </c>
      <c r="E52" s="833">
        <v>890200</v>
      </c>
      <c r="F52" s="833">
        <v>551800</v>
      </c>
      <c r="G52" s="833">
        <v>682178.83000000007</v>
      </c>
      <c r="H52" s="834">
        <f t="shared" si="0"/>
        <v>130378.83000000007</v>
      </c>
      <c r="I52" s="834">
        <f t="shared" si="1"/>
        <v>123.62791409931135</v>
      </c>
    </row>
    <row r="53" spans="1:9" x14ac:dyDescent="0.3">
      <c r="A53" s="831">
        <v>1</v>
      </c>
      <c r="B53" s="831" t="s">
        <v>279</v>
      </c>
      <c r="C53" s="832" t="s">
        <v>280</v>
      </c>
      <c r="D53" s="833">
        <v>708000</v>
      </c>
      <c r="E53" s="833">
        <v>708000</v>
      </c>
      <c r="F53" s="833">
        <v>457700</v>
      </c>
      <c r="G53" s="833">
        <v>596354.91</v>
      </c>
      <c r="H53" s="834">
        <f t="shared" si="0"/>
        <v>138654.91000000003</v>
      </c>
      <c r="I53" s="834">
        <f t="shared" si="1"/>
        <v>130.29384094384969</v>
      </c>
    </row>
    <row r="54" spans="1:9" ht="41.4" x14ac:dyDescent="0.3">
      <c r="A54" s="831">
        <v>0</v>
      </c>
      <c r="B54" s="831" t="s">
        <v>281</v>
      </c>
      <c r="C54" s="832" t="s">
        <v>976</v>
      </c>
      <c r="D54" s="833">
        <v>44600</v>
      </c>
      <c r="E54" s="833">
        <v>44600</v>
      </c>
      <c r="F54" s="833">
        <v>24300</v>
      </c>
      <c r="G54" s="833">
        <v>57692</v>
      </c>
      <c r="H54" s="834">
        <f t="shared" si="0"/>
        <v>33392</v>
      </c>
      <c r="I54" s="834">
        <f t="shared" si="1"/>
        <v>237.41563786008228</v>
      </c>
    </row>
    <row r="55" spans="1:9" x14ac:dyDescent="0.3">
      <c r="A55" s="831">
        <v>0</v>
      </c>
      <c r="B55" s="831" t="s">
        <v>283</v>
      </c>
      <c r="C55" s="832" t="s">
        <v>284</v>
      </c>
      <c r="D55" s="833">
        <v>447800</v>
      </c>
      <c r="E55" s="833">
        <v>447800</v>
      </c>
      <c r="F55" s="833">
        <v>304100</v>
      </c>
      <c r="G55" s="833">
        <v>323412.91000000003</v>
      </c>
      <c r="H55" s="834">
        <f t="shared" si="0"/>
        <v>19312.910000000033</v>
      </c>
      <c r="I55" s="834">
        <f t="shared" si="1"/>
        <v>106.35084182834595</v>
      </c>
    </row>
    <row r="56" spans="1:9" ht="27.6" x14ac:dyDescent="0.3">
      <c r="A56" s="831">
        <v>0</v>
      </c>
      <c r="B56" s="831" t="s">
        <v>285</v>
      </c>
      <c r="C56" s="832" t="s">
        <v>977</v>
      </c>
      <c r="D56" s="833">
        <v>215600</v>
      </c>
      <c r="E56" s="833">
        <v>215600</v>
      </c>
      <c r="F56" s="833">
        <v>129300</v>
      </c>
      <c r="G56" s="833">
        <v>215250</v>
      </c>
      <c r="H56" s="834">
        <f t="shared" si="0"/>
        <v>85950</v>
      </c>
      <c r="I56" s="834">
        <f t="shared" si="1"/>
        <v>166.47331786542924</v>
      </c>
    </row>
    <row r="57" spans="1:9" x14ac:dyDescent="0.3">
      <c r="A57" s="831">
        <v>1</v>
      </c>
      <c r="B57" s="831" t="s">
        <v>287</v>
      </c>
      <c r="C57" s="832" t="s">
        <v>288</v>
      </c>
      <c r="D57" s="833">
        <v>182200</v>
      </c>
      <c r="E57" s="833">
        <v>182200</v>
      </c>
      <c r="F57" s="833">
        <v>94100</v>
      </c>
      <c r="G57" s="833">
        <v>85823.92</v>
      </c>
      <c r="H57" s="834">
        <f t="shared" si="0"/>
        <v>-8276.0800000000017</v>
      </c>
      <c r="I57" s="834">
        <f t="shared" si="1"/>
        <v>91.205015940488849</v>
      </c>
    </row>
    <row r="58" spans="1:9" ht="41.4" x14ac:dyDescent="0.3">
      <c r="A58" s="831">
        <v>0</v>
      </c>
      <c r="B58" s="831" t="s">
        <v>289</v>
      </c>
      <c r="C58" s="832" t="s">
        <v>290</v>
      </c>
      <c r="D58" s="833">
        <v>182200</v>
      </c>
      <c r="E58" s="833">
        <v>182200</v>
      </c>
      <c r="F58" s="833">
        <v>94100</v>
      </c>
      <c r="G58" s="833">
        <v>84038.92</v>
      </c>
      <c r="H58" s="834">
        <f t="shared" si="0"/>
        <v>-10061.080000000002</v>
      </c>
      <c r="I58" s="834">
        <f t="shared" si="1"/>
        <v>89.308097768331564</v>
      </c>
    </row>
    <row r="59" spans="1:9" ht="41.4" x14ac:dyDescent="0.3">
      <c r="A59" s="831">
        <v>0</v>
      </c>
      <c r="B59" s="831" t="s">
        <v>978</v>
      </c>
      <c r="C59" s="832" t="s">
        <v>979</v>
      </c>
      <c r="D59" s="833">
        <v>0</v>
      </c>
      <c r="E59" s="833">
        <v>0</v>
      </c>
      <c r="F59" s="833">
        <v>0</v>
      </c>
      <c r="G59" s="833">
        <v>1785</v>
      </c>
      <c r="H59" s="834">
        <f t="shared" si="0"/>
        <v>1785</v>
      </c>
      <c r="I59" s="834">
        <f t="shared" si="1"/>
        <v>0</v>
      </c>
    </row>
    <row r="60" spans="1:9" x14ac:dyDescent="0.3">
      <c r="A60" s="831">
        <v>1</v>
      </c>
      <c r="B60" s="831" t="s">
        <v>980</v>
      </c>
      <c r="C60" s="832" t="s">
        <v>981</v>
      </c>
      <c r="D60" s="833">
        <v>0</v>
      </c>
      <c r="E60" s="833">
        <v>0</v>
      </c>
      <c r="F60" s="833">
        <v>0</v>
      </c>
      <c r="G60" s="833">
        <v>85236.37</v>
      </c>
      <c r="H60" s="834">
        <f t="shared" si="0"/>
        <v>85236.37</v>
      </c>
      <c r="I60" s="834">
        <f t="shared" si="1"/>
        <v>0</v>
      </c>
    </row>
    <row r="61" spans="1:9" x14ac:dyDescent="0.3">
      <c r="A61" s="831">
        <v>1</v>
      </c>
      <c r="B61" s="831" t="s">
        <v>982</v>
      </c>
      <c r="C61" s="832" t="s">
        <v>272</v>
      </c>
      <c r="D61" s="833">
        <v>0</v>
      </c>
      <c r="E61" s="833">
        <v>0</v>
      </c>
      <c r="F61" s="833">
        <v>0</v>
      </c>
      <c r="G61" s="833">
        <v>85236.37</v>
      </c>
      <c r="H61" s="834">
        <f t="shared" si="0"/>
        <v>85236.37</v>
      </c>
      <c r="I61" s="834">
        <f t="shared" si="1"/>
        <v>0</v>
      </c>
    </row>
    <row r="62" spans="1:9" x14ac:dyDescent="0.3">
      <c r="A62" s="831">
        <v>0</v>
      </c>
      <c r="B62" s="831" t="s">
        <v>983</v>
      </c>
      <c r="C62" s="832" t="s">
        <v>272</v>
      </c>
      <c r="D62" s="833">
        <v>0</v>
      </c>
      <c r="E62" s="833">
        <v>0</v>
      </c>
      <c r="F62" s="833">
        <v>0</v>
      </c>
      <c r="G62" s="833">
        <v>32540.91</v>
      </c>
      <c r="H62" s="834">
        <f t="shared" si="0"/>
        <v>32540.91</v>
      </c>
      <c r="I62" s="834">
        <f t="shared" si="1"/>
        <v>0</v>
      </c>
    </row>
    <row r="63" spans="1:9" ht="69" x14ac:dyDescent="0.3">
      <c r="A63" s="831">
        <v>0</v>
      </c>
      <c r="B63" s="831" t="s">
        <v>984</v>
      </c>
      <c r="C63" s="832" t="s">
        <v>985</v>
      </c>
      <c r="D63" s="833">
        <v>0</v>
      </c>
      <c r="E63" s="833">
        <v>0</v>
      </c>
      <c r="F63" s="833">
        <v>0</v>
      </c>
      <c r="G63" s="833">
        <v>52695.46</v>
      </c>
      <c r="H63" s="834">
        <f t="shared" si="0"/>
        <v>52695.46</v>
      </c>
      <c r="I63" s="834">
        <f t="shared" si="1"/>
        <v>0</v>
      </c>
    </row>
    <row r="64" spans="1:9" x14ac:dyDescent="0.3">
      <c r="A64" s="831">
        <v>1</v>
      </c>
      <c r="B64" s="831" t="s">
        <v>307</v>
      </c>
      <c r="C64" s="832" t="s">
        <v>308</v>
      </c>
      <c r="D64" s="833">
        <v>0</v>
      </c>
      <c r="E64" s="833">
        <v>0</v>
      </c>
      <c r="F64" s="833">
        <v>0</v>
      </c>
      <c r="G64" s="833">
        <v>750</v>
      </c>
      <c r="H64" s="834">
        <f t="shared" si="0"/>
        <v>750</v>
      </c>
      <c r="I64" s="834">
        <f t="shared" si="1"/>
        <v>0</v>
      </c>
    </row>
    <row r="65" spans="1:9" x14ac:dyDescent="0.3">
      <c r="A65" s="831">
        <v>1</v>
      </c>
      <c r="B65" s="831" t="s">
        <v>309</v>
      </c>
      <c r="C65" s="832" t="s">
        <v>310</v>
      </c>
      <c r="D65" s="833">
        <v>0</v>
      </c>
      <c r="E65" s="833">
        <v>0</v>
      </c>
      <c r="F65" s="833">
        <v>0</v>
      </c>
      <c r="G65" s="833">
        <v>750</v>
      </c>
      <c r="H65" s="834">
        <f t="shared" si="0"/>
        <v>750</v>
      </c>
      <c r="I65" s="834">
        <f t="shared" si="1"/>
        <v>0</v>
      </c>
    </row>
    <row r="66" spans="1:9" ht="69" x14ac:dyDescent="0.3">
      <c r="A66" s="831">
        <v>1</v>
      </c>
      <c r="B66" s="831" t="s">
        <v>311</v>
      </c>
      <c r="C66" s="832" t="s">
        <v>312</v>
      </c>
      <c r="D66" s="833">
        <v>0</v>
      </c>
      <c r="E66" s="833">
        <v>0</v>
      </c>
      <c r="F66" s="833">
        <v>0</v>
      </c>
      <c r="G66" s="833">
        <v>750</v>
      </c>
      <c r="H66" s="834">
        <f t="shared" si="0"/>
        <v>750</v>
      </c>
      <c r="I66" s="834">
        <f t="shared" si="1"/>
        <v>0</v>
      </c>
    </row>
    <row r="67" spans="1:9" ht="55.2" x14ac:dyDescent="0.3">
      <c r="A67" s="831">
        <v>0</v>
      </c>
      <c r="B67" s="831" t="s">
        <v>313</v>
      </c>
      <c r="C67" s="832" t="s">
        <v>314</v>
      </c>
      <c r="D67" s="833">
        <v>0</v>
      </c>
      <c r="E67" s="833">
        <v>0</v>
      </c>
      <c r="F67" s="833">
        <v>0</v>
      </c>
      <c r="G67" s="833">
        <v>750</v>
      </c>
      <c r="H67" s="834">
        <f t="shared" si="0"/>
        <v>750</v>
      </c>
      <c r="I67" s="834">
        <f t="shared" si="1"/>
        <v>0</v>
      </c>
    </row>
    <row r="68" spans="1:9" x14ac:dyDescent="0.3">
      <c r="A68" s="831">
        <v>1</v>
      </c>
      <c r="B68" s="831" t="s">
        <v>344</v>
      </c>
      <c r="C68" s="832" t="s">
        <v>986</v>
      </c>
      <c r="D68" s="833">
        <v>121434616</v>
      </c>
      <c r="E68" s="833">
        <v>121434616</v>
      </c>
      <c r="F68" s="833">
        <v>74424900</v>
      </c>
      <c r="G68" s="833">
        <v>78445401.320000008</v>
      </c>
      <c r="H68" s="834">
        <f t="shared" si="0"/>
        <v>4020501.3200000077</v>
      </c>
      <c r="I68" s="834">
        <f t="shared" si="1"/>
        <v>105.40209166555819</v>
      </c>
    </row>
    <row r="71" spans="1:9" s="591" customFormat="1" ht="36" customHeight="1" x14ac:dyDescent="0.3">
      <c r="A71" s="975" t="s">
        <v>987</v>
      </c>
      <c r="B71" s="975"/>
      <c r="C71" s="975"/>
      <c r="D71" s="975"/>
      <c r="G71" s="976" t="s">
        <v>988</v>
      </c>
      <c r="H71" s="976"/>
      <c r="I71" s="976"/>
    </row>
  </sheetData>
  <mergeCells count="4">
    <mergeCell ref="B4:I4"/>
    <mergeCell ref="B5:I5"/>
    <mergeCell ref="A71:D71"/>
    <mergeCell ref="G71:I71"/>
  </mergeCells>
  <conditionalFormatting sqref="B8:B68">
    <cfRule type="expression" dxfId="7" priority="1" stopIfTrue="1">
      <formula>A8=1</formula>
    </cfRule>
  </conditionalFormatting>
  <conditionalFormatting sqref="C8:C68">
    <cfRule type="expression" dxfId="6" priority="2" stopIfTrue="1">
      <formula>A8=1</formula>
    </cfRule>
  </conditionalFormatting>
  <conditionalFormatting sqref="D8:D68">
    <cfRule type="expression" dxfId="5" priority="3" stopIfTrue="1">
      <formula>A8=1</formula>
    </cfRule>
  </conditionalFormatting>
  <conditionalFormatting sqref="E8:E68">
    <cfRule type="expression" dxfId="4" priority="4" stopIfTrue="1">
      <formula>A8=1</formula>
    </cfRule>
  </conditionalFormatting>
  <conditionalFormatting sqref="F8:F68">
    <cfRule type="expression" dxfId="3" priority="5" stopIfTrue="1">
      <formula>A8=1</formula>
    </cfRule>
  </conditionalFormatting>
  <conditionalFormatting sqref="G8:G68">
    <cfRule type="expression" dxfId="2" priority="6" stopIfTrue="1">
      <formula>A8=1</formula>
    </cfRule>
  </conditionalFormatting>
  <conditionalFormatting sqref="H8:H68">
    <cfRule type="expression" dxfId="1" priority="7" stopIfTrue="1">
      <formula>A8=1</formula>
    </cfRule>
  </conditionalFormatting>
  <conditionalFormatting sqref="I8:I68">
    <cfRule type="expression" dxfId="0" priority="8" stopIfTrue="1">
      <formula>A8=1</formula>
    </cfRule>
  </conditionalFormatting>
  <pageMargins left="0.32" right="0.33" top="0.39370078740157499" bottom="0.39370078740157499" header="0" footer="0"/>
  <pageSetup paperSize="9" scale="68" fitToHeight="700"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10</vt:i4>
      </vt:variant>
    </vt:vector>
  </HeadingPairs>
  <TitlesOfParts>
    <vt:vector size="19" baseType="lpstr">
      <vt:lpstr>Дод 1</vt:lpstr>
      <vt:lpstr>дод 2 </vt:lpstr>
      <vt:lpstr>дод 3 </vt:lpstr>
      <vt:lpstr>дод 4</vt:lpstr>
      <vt:lpstr>Дод 5 </vt:lpstr>
      <vt:lpstr>дод 6 </vt:lpstr>
      <vt:lpstr>дод7</vt:lpstr>
      <vt:lpstr>дод 8</vt:lpstr>
      <vt:lpstr>дод 9</vt:lpstr>
      <vt:lpstr>'дод 2 '!Заголовки_для_печати</vt:lpstr>
      <vt:lpstr>'дод 3 '!Заголовки_для_печати</vt:lpstr>
      <vt:lpstr>'Дод 5 '!Заголовки_для_печати</vt:lpstr>
      <vt:lpstr>'дод 6 '!Заголовки_для_печати</vt:lpstr>
      <vt:lpstr>'дод 8'!Заголовки_для_печати</vt:lpstr>
      <vt:lpstr>дод7!Заголовки_для_печати</vt:lpstr>
      <vt:lpstr>'дод 2 '!Область_печати</vt:lpstr>
      <vt:lpstr>'Дод 5 '!Область_печати</vt:lpstr>
      <vt:lpstr>'дод 8'!Область_печати</vt:lpstr>
      <vt:lpstr>'дод 9'!Область_печати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Antonina</cp:lastModifiedBy>
  <cp:lastPrinted>2021-09-08T11:58:09Z</cp:lastPrinted>
  <dcterms:created xsi:type="dcterms:W3CDTF">2020-12-30T10:03:27Z</dcterms:created>
  <dcterms:modified xsi:type="dcterms:W3CDTF">2021-09-08T11:59:13Z</dcterms:modified>
</cp:coreProperties>
</file>