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activeTab="8"/>
  </bookViews>
  <sheets>
    <sheet name="Дод 1" sheetId="2" r:id="rId1"/>
    <sheet name="дод 2 " sheetId="12" r:id="rId2"/>
    <sheet name="дод 3 " sheetId="4" r:id="rId3"/>
    <sheet name="дод 4" sheetId="5" r:id="rId4"/>
    <sheet name="Дод 5 " sheetId="10" r:id="rId5"/>
    <sheet name="дод 6 " sheetId="7" r:id="rId6"/>
    <sheet name="дод7" sheetId="14" r:id="rId7"/>
    <sheet name="дод 8" sheetId="9" r:id="rId8"/>
    <sheet name="дод 9" sheetId="13" r:id="rId9"/>
  </sheets>
  <externalReferences>
    <externalReference r:id="rId10"/>
  </externalReferences>
  <definedNames>
    <definedName name="_xlnm._FilterDatabase" localSheetId="5" hidden="1">'дод 6 '!#REF!</definedName>
    <definedName name="_xlnm._FilterDatabase" localSheetId="7" hidden="1">'дод 8'!$A$6:$E$201</definedName>
    <definedName name="_xlnm.Print_Titles" localSheetId="1">'дод 2 '!$12:$12</definedName>
    <definedName name="_xlnm.Print_Titles" localSheetId="2">'дод 3 '!$7:$10</definedName>
    <definedName name="_xlnm.Print_Titles" localSheetId="4">'Дод 5 '!$10:$11</definedName>
    <definedName name="_xlnm.Print_Titles" localSheetId="5">'дод 6 '!$9:$9</definedName>
    <definedName name="_xlnm.Print_Titles" localSheetId="7">'дод 8'!$6:$6</definedName>
    <definedName name="_xlnm.Print_Titles" localSheetId="6">дод7!$7:$9</definedName>
    <definedName name="_xlnm.Print_Area" localSheetId="7">'дод 8'!$A$1:$E$244</definedName>
    <definedName name="_xlnm.Print_Area" localSheetId="8">'дод 9'!$A$1:$H$69</definedName>
  </definedNames>
  <calcPr calcId="144525"/>
</workbook>
</file>

<file path=xl/calcChain.xml><?xml version="1.0" encoding="utf-8"?>
<calcChain xmlns="http://schemas.openxmlformats.org/spreadsheetml/2006/main">
  <c r="E21" i="12" l="1"/>
  <c r="R12" i="4"/>
  <c r="Q12" i="4"/>
  <c r="P12" i="4"/>
  <c r="O12" i="4"/>
  <c r="N12" i="4"/>
  <c r="M12" i="4"/>
  <c r="L12" i="4"/>
  <c r="K12" i="4"/>
  <c r="I41" i="14"/>
  <c r="C104" i="10" l="1"/>
  <c r="C103" i="10"/>
  <c r="E25" i="12" l="1"/>
  <c r="I21" i="7"/>
  <c r="R118" i="4" l="1"/>
  <c r="Q118" i="4"/>
  <c r="P118" i="4"/>
  <c r="O118" i="4"/>
  <c r="N118" i="4"/>
  <c r="M118" i="4"/>
  <c r="L118" i="4"/>
  <c r="K118" i="4"/>
  <c r="J118" i="4"/>
  <c r="I118" i="4"/>
  <c r="H118" i="4"/>
  <c r="K120" i="4"/>
  <c r="G118" i="4"/>
  <c r="K158" i="4"/>
  <c r="R89" i="4"/>
  <c r="Q89" i="4"/>
  <c r="P89" i="4"/>
  <c r="O89" i="4"/>
  <c r="N89" i="4"/>
  <c r="M89" i="4"/>
  <c r="M158" i="4" s="1"/>
  <c r="L89" i="4"/>
  <c r="L158" i="4" s="1"/>
  <c r="J89" i="4"/>
  <c r="J158" i="4" s="1"/>
  <c r="I89" i="4"/>
  <c r="H89" i="4"/>
  <c r="G89" i="4"/>
  <c r="F89" i="4"/>
  <c r="K89" i="4"/>
  <c r="Q158" i="4"/>
  <c r="O158" i="4"/>
  <c r="N158" i="4"/>
  <c r="I158" i="4"/>
  <c r="H158" i="4"/>
  <c r="G158" i="4"/>
  <c r="R139" i="4"/>
  <c r="K139" i="4"/>
  <c r="J117" i="4"/>
  <c r="I117" i="4"/>
  <c r="H117" i="4"/>
  <c r="G117" i="4"/>
  <c r="F117" i="4"/>
  <c r="R117" i="4" s="1"/>
  <c r="G64" i="4"/>
  <c r="J78" i="14"/>
  <c r="I78" i="14"/>
  <c r="G78" i="14"/>
  <c r="I80" i="14"/>
  <c r="G80" i="14" s="1"/>
  <c r="J80" i="14"/>
  <c r="H78" i="14"/>
  <c r="G103" i="14"/>
  <c r="G99" i="14"/>
  <c r="G72" i="14"/>
  <c r="J63" i="14"/>
  <c r="I63" i="14"/>
  <c r="H85" i="14"/>
  <c r="H84" i="14"/>
  <c r="H80" i="14"/>
  <c r="H69" i="14"/>
  <c r="H67" i="14"/>
  <c r="H66" i="14"/>
  <c r="H64" i="14"/>
  <c r="G64" i="14" s="1"/>
  <c r="H63" i="14"/>
  <c r="H61" i="14"/>
  <c r="H53" i="14"/>
  <c r="H46" i="14"/>
  <c r="H38" i="14"/>
  <c r="G42" i="14"/>
  <c r="K60" i="4"/>
  <c r="H34" i="14" l="1"/>
  <c r="H32" i="14"/>
  <c r="H13" i="14"/>
  <c r="C66" i="9"/>
  <c r="I40" i="7" l="1"/>
  <c r="E28" i="12"/>
  <c r="F71" i="9"/>
  <c r="F72" i="9" s="1"/>
  <c r="K138" i="4"/>
  <c r="R138" i="4" s="1"/>
  <c r="R59" i="4"/>
  <c r="G95" i="4"/>
  <c r="G88" i="4" s="1"/>
  <c r="Q88" i="4"/>
  <c r="P88" i="4"/>
  <c r="O88" i="4"/>
  <c r="N88" i="4"/>
  <c r="M88" i="4"/>
  <c r="L88" i="4"/>
  <c r="J88" i="4"/>
  <c r="I88" i="4"/>
  <c r="H88" i="4"/>
  <c r="F98" i="4"/>
  <c r="K98" i="4"/>
  <c r="G54" i="4"/>
  <c r="D211" i="9"/>
  <c r="D210" i="9"/>
  <c r="C75" i="10"/>
  <c r="C76" i="10"/>
  <c r="C22" i="10"/>
  <c r="F88" i="2"/>
  <c r="E88" i="2"/>
  <c r="D88" i="2"/>
  <c r="C89" i="2"/>
  <c r="R98" i="4" l="1"/>
  <c r="C217" i="9"/>
  <c r="D224" i="9" l="1"/>
  <c r="D225" i="9" s="1"/>
  <c r="C224" i="9"/>
  <c r="C184" i="9"/>
  <c r="F69" i="9" l="1"/>
  <c r="J45" i="14"/>
  <c r="I45" i="14"/>
  <c r="C68" i="9" l="1"/>
  <c r="F68" i="9" s="1"/>
  <c r="H68" i="13" l="1"/>
  <c r="G68" i="13"/>
  <c r="H67" i="13"/>
  <c r="G67" i="13"/>
  <c r="H66" i="13"/>
  <c r="G66" i="13"/>
  <c r="H65" i="13"/>
  <c r="G65" i="13"/>
  <c r="H64" i="13"/>
  <c r="G64" i="13"/>
  <c r="H63" i="13"/>
  <c r="G63" i="13"/>
  <c r="H62" i="13"/>
  <c r="G62" i="13"/>
  <c r="H61" i="13"/>
  <c r="G61" i="13"/>
  <c r="H60" i="13"/>
  <c r="G60" i="13"/>
  <c r="H59" i="13"/>
  <c r="G59" i="13"/>
  <c r="H58" i="13"/>
  <c r="G58" i="13"/>
  <c r="H57" i="13"/>
  <c r="G57" i="13"/>
  <c r="H56" i="13"/>
  <c r="G56" i="13"/>
  <c r="H55" i="13"/>
  <c r="G55" i="13"/>
  <c r="H54" i="13"/>
  <c r="G54" i="13"/>
  <c r="H53" i="13"/>
  <c r="G53" i="13"/>
  <c r="H52" i="13"/>
  <c r="G52" i="13"/>
  <c r="H51" i="13"/>
  <c r="G51" i="13"/>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9" i="13"/>
  <c r="G9" i="13"/>
  <c r="H8" i="13"/>
  <c r="G8" i="13"/>
  <c r="C210" i="9"/>
  <c r="C233" i="9" s="1"/>
  <c r="C170" i="9"/>
  <c r="E170" i="9" s="1"/>
  <c r="G111" i="14"/>
  <c r="J110" i="14"/>
  <c r="J109" i="14" s="1"/>
  <c r="I110" i="14"/>
  <c r="I109" i="14" s="1"/>
  <c r="H109" i="14"/>
  <c r="G108" i="14"/>
  <c r="G107" i="14"/>
  <c r="G106" i="14"/>
  <c r="G105" i="14"/>
  <c r="H104" i="14"/>
  <c r="G104" i="14" s="1"/>
  <c r="G100" i="14" s="1"/>
  <c r="G102" i="14"/>
  <c r="G101" i="14"/>
  <c r="J100" i="14"/>
  <c r="I100" i="14"/>
  <c r="H100" i="14"/>
  <c r="H98" i="14"/>
  <c r="G98" i="14" s="1"/>
  <c r="G97" i="14"/>
  <c r="H96" i="14"/>
  <c r="G96" i="14"/>
  <c r="H95" i="14"/>
  <c r="G95" i="14"/>
  <c r="G94" i="14"/>
  <c r="H93" i="14"/>
  <c r="G93" i="14"/>
  <c r="H92" i="14"/>
  <c r="G92" i="14"/>
  <c r="L91" i="14"/>
  <c r="H91" i="14"/>
  <c r="G91" i="14" s="1"/>
  <c r="H90" i="14"/>
  <c r="G90" i="14"/>
  <c r="G89" i="14"/>
  <c r="K85" i="14"/>
  <c r="G85" i="14"/>
  <c r="K84" i="14"/>
  <c r="P84" i="14" s="1"/>
  <c r="G84" i="14"/>
  <c r="G83" i="14"/>
  <c r="G82" i="14"/>
  <c r="K81" i="14"/>
  <c r="H81" i="14"/>
  <c r="G79" i="14"/>
  <c r="J77" i="14"/>
  <c r="I77" i="14"/>
  <c r="H77" i="14"/>
  <c r="G77" i="14"/>
  <c r="H76" i="14"/>
  <c r="G76" i="14" s="1"/>
  <c r="G75" i="14"/>
  <c r="G74" i="14"/>
  <c r="G73" i="14"/>
  <c r="G71" i="14"/>
  <c r="G70" i="14"/>
  <c r="G69" i="14"/>
  <c r="H68" i="14"/>
  <c r="G68" i="14" s="1"/>
  <c r="G67" i="14"/>
  <c r="G66" i="14"/>
  <c r="H65" i="14"/>
  <c r="G65" i="14" s="1"/>
  <c r="G63" i="14"/>
  <c r="H62" i="14"/>
  <c r="H59" i="14" s="1"/>
  <c r="G62" i="14"/>
  <c r="G61" i="14"/>
  <c r="G60" i="14"/>
  <c r="J59" i="14"/>
  <c r="I59" i="14"/>
  <c r="G57" i="14"/>
  <c r="I56" i="14"/>
  <c r="G56" i="14"/>
  <c r="G55" i="14"/>
  <c r="H54" i="14"/>
  <c r="G54" i="14"/>
  <c r="G53" i="14"/>
  <c r="G52" i="14"/>
  <c r="G51" i="14"/>
  <c r="G50" i="14"/>
  <c r="G49" i="14"/>
  <c r="G48" i="14"/>
  <c r="G47" i="14"/>
  <c r="G46" i="14"/>
  <c r="G45" i="14"/>
  <c r="G44" i="14"/>
  <c r="J43" i="14"/>
  <c r="J10" i="14" s="1"/>
  <c r="G43" i="14"/>
  <c r="G41" i="14"/>
  <c r="H40" i="14"/>
  <c r="G40" i="14"/>
  <c r="G39" i="14"/>
  <c r="J38" i="14"/>
  <c r="I38" i="14"/>
  <c r="G38" i="14" s="1"/>
  <c r="G37" i="14"/>
  <c r="G36" i="14"/>
  <c r="J35" i="14"/>
  <c r="I35" i="14"/>
  <c r="H35" i="14"/>
  <c r="G35" i="14" s="1"/>
  <c r="G34" i="14"/>
  <c r="H33" i="14"/>
  <c r="G33" i="14"/>
  <c r="G32" i="14"/>
  <c r="G31" i="14"/>
  <c r="G30" i="14"/>
  <c r="H29" i="14"/>
  <c r="G29" i="14" s="1"/>
  <c r="G28" i="14"/>
  <c r="G27" i="14"/>
  <c r="H26" i="14"/>
  <c r="G26" i="14" s="1"/>
  <c r="H25" i="14"/>
  <c r="G25" i="14"/>
  <c r="H24" i="14"/>
  <c r="G24" i="14" s="1"/>
  <c r="H23" i="14"/>
  <c r="G23" i="14" s="1"/>
  <c r="H22" i="14"/>
  <c r="G22" i="14" s="1"/>
  <c r="H21" i="14"/>
  <c r="G21" i="14"/>
  <c r="H20" i="14"/>
  <c r="G20" i="14" s="1"/>
  <c r="G19" i="14"/>
  <c r="G18" i="14"/>
  <c r="I17" i="14"/>
  <c r="H17" i="14"/>
  <c r="G17" i="14" s="1"/>
  <c r="H16" i="14"/>
  <c r="G16" i="14" s="1"/>
  <c r="G15" i="14"/>
  <c r="H14" i="14"/>
  <c r="G14" i="14" s="1"/>
  <c r="G13" i="14"/>
  <c r="H12" i="14"/>
  <c r="G12" i="14" s="1"/>
  <c r="H11" i="14"/>
  <c r="G11" i="14" s="1"/>
  <c r="I10" i="14"/>
  <c r="H10" i="14"/>
  <c r="I62" i="7"/>
  <c r="I61" i="7" s="1"/>
  <c r="I60" i="7" s="1"/>
  <c r="I52" i="7"/>
  <c r="I50" i="7"/>
  <c r="G50" i="7"/>
  <c r="I48" i="7"/>
  <c r="I38" i="7"/>
  <c r="G38" i="7"/>
  <c r="I24" i="7"/>
  <c r="I23" i="7"/>
  <c r="I17" i="7"/>
  <c r="I11" i="7" s="1"/>
  <c r="C160" i="10"/>
  <c r="C161" i="10" s="1"/>
  <c r="C159" i="10"/>
  <c r="C158" i="10"/>
  <c r="C142" i="10"/>
  <c r="C150" i="10" s="1"/>
  <c r="C139" i="10"/>
  <c r="C138" i="10" s="1"/>
  <c r="C137" i="10"/>
  <c r="C136" i="10" s="1"/>
  <c r="C132" i="10"/>
  <c r="C149" i="10" s="1"/>
  <c r="C148" i="10" s="1"/>
  <c r="C118" i="10"/>
  <c r="C109" i="10" s="1"/>
  <c r="C108" i="10"/>
  <c r="C107" i="10" s="1"/>
  <c r="F155" i="10" s="1"/>
  <c r="C102" i="10"/>
  <c r="C100" i="10" s="1"/>
  <c r="E90" i="10"/>
  <c r="C88" i="10"/>
  <c r="E87" i="10"/>
  <c r="C86" i="10"/>
  <c r="F79" i="10"/>
  <c r="C78" i="10"/>
  <c r="F78" i="10" s="1"/>
  <c r="F77" i="10"/>
  <c r="C77" i="10"/>
  <c r="F76" i="10"/>
  <c r="C74" i="10"/>
  <c r="C73" i="10"/>
  <c r="C62" i="10"/>
  <c r="C58" i="10"/>
  <c r="C56" i="10" s="1"/>
  <c r="C55" i="10"/>
  <c r="C54" i="10" s="1"/>
  <c r="C48" i="10"/>
  <c r="C47" i="10"/>
  <c r="C46" i="10"/>
  <c r="C40" i="10"/>
  <c r="C37" i="10"/>
  <c r="C36" i="10"/>
  <c r="C35" i="10" s="1"/>
  <c r="C34" i="10"/>
  <c r="C33" i="10"/>
  <c r="C27" i="10"/>
  <c r="C25" i="10"/>
  <c r="C23" i="10"/>
  <c r="C20" i="10"/>
  <c r="C19" i="10"/>
  <c r="C17" i="10"/>
  <c r="C16" i="10"/>
  <c r="C15" i="10" s="1"/>
  <c r="C13" i="10"/>
  <c r="K156" i="4"/>
  <c r="F156" i="4"/>
  <c r="K155" i="4"/>
  <c r="R155" i="4" s="1"/>
  <c r="F155" i="4"/>
  <c r="K154" i="4"/>
  <c r="F154" i="4"/>
  <c r="K153" i="4"/>
  <c r="F153" i="4"/>
  <c r="Q152" i="4"/>
  <c r="Q151" i="4" s="1"/>
  <c r="P152" i="4"/>
  <c r="P151" i="4" s="1"/>
  <c r="O152" i="4"/>
  <c r="O151" i="4" s="1"/>
  <c r="N152" i="4"/>
  <c r="M152" i="4"/>
  <c r="M151" i="4" s="1"/>
  <c r="L152" i="4"/>
  <c r="L151" i="4" s="1"/>
  <c r="J152" i="4"/>
  <c r="J151" i="4" s="1"/>
  <c r="I152" i="4"/>
  <c r="I151" i="4" s="1"/>
  <c r="H152" i="4"/>
  <c r="H151" i="4" s="1"/>
  <c r="G152" i="4"/>
  <c r="G151" i="4" s="1"/>
  <c r="N151" i="4"/>
  <c r="K150" i="4"/>
  <c r="F150" i="4"/>
  <c r="K149" i="4"/>
  <c r="F149" i="4"/>
  <c r="K148" i="4"/>
  <c r="F148" i="4"/>
  <c r="Q147" i="4"/>
  <c r="P147" i="4"/>
  <c r="K147" i="4"/>
  <c r="F147" i="4"/>
  <c r="K146" i="4"/>
  <c r="F146" i="4"/>
  <c r="K145" i="4"/>
  <c r="F145" i="4"/>
  <c r="R145" i="4" s="1"/>
  <c r="P144" i="4"/>
  <c r="P141" i="4" s="1"/>
  <c r="P140" i="4" s="1"/>
  <c r="K144" i="4"/>
  <c r="F144" i="4"/>
  <c r="K143" i="4"/>
  <c r="F143" i="4"/>
  <c r="F142" i="4"/>
  <c r="R142" i="4" s="1"/>
  <c r="Q141" i="4"/>
  <c r="Q140" i="4" s="1"/>
  <c r="O141" i="4"/>
  <c r="O140" i="4" s="1"/>
  <c r="N141" i="4"/>
  <c r="N140" i="4" s="1"/>
  <c r="M141" i="4"/>
  <c r="M140" i="4" s="1"/>
  <c r="L141" i="4"/>
  <c r="L140" i="4" s="1"/>
  <c r="J141" i="4"/>
  <c r="J140" i="4" s="1"/>
  <c r="I141" i="4"/>
  <c r="I140" i="4" s="1"/>
  <c r="H141" i="4"/>
  <c r="H140" i="4" s="1"/>
  <c r="G141" i="4"/>
  <c r="G140" i="4" s="1"/>
  <c r="K137" i="4"/>
  <c r="F137" i="4"/>
  <c r="K136" i="4"/>
  <c r="F136" i="4"/>
  <c r="K135" i="4"/>
  <c r="F135" i="4"/>
  <c r="K134" i="4"/>
  <c r="F134" i="4"/>
  <c r="K133" i="4"/>
  <c r="F133" i="4"/>
  <c r="K132" i="4"/>
  <c r="F132" i="4"/>
  <c r="K131" i="4"/>
  <c r="F131" i="4"/>
  <c r="K130" i="4"/>
  <c r="F130" i="4"/>
  <c r="K129" i="4"/>
  <c r="R129" i="4" s="1"/>
  <c r="K128" i="4"/>
  <c r="F128" i="4"/>
  <c r="K127" i="4"/>
  <c r="F127" i="4"/>
  <c r="K126" i="4"/>
  <c r="F126" i="4"/>
  <c r="K125" i="4"/>
  <c r="F125" i="4"/>
  <c r="K124" i="4"/>
  <c r="F124" i="4"/>
  <c r="K123" i="4"/>
  <c r="F123" i="4"/>
  <c r="K122" i="4"/>
  <c r="F122" i="4"/>
  <c r="K121" i="4"/>
  <c r="F121" i="4"/>
  <c r="F120" i="4"/>
  <c r="K119" i="4"/>
  <c r="F119" i="4"/>
  <c r="J159" i="4"/>
  <c r="H159" i="4"/>
  <c r="Q116" i="4"/>
  <c r="Q115" i="4" s="1"/>
  <c r="P116" i="4"/>
  <c r="P115" i="4" s="1"/>
  <c r="O116" i="4"/>
  <c r="O115" i="4" s="1"/>
  <c r="N116" i="4"/>
  <c r="N115" i="4" s="1"/>
  <c r="M116" i="4"/>
  <c r="M115" i="4" s="1"/>
  <c r="L116" i="4"/>
  <c r="L115" i="4" s="1"/>
  <c r="J116" i="4"/>
  <c r="J115" i="4" s="1"/>
  <c r="I116" i="4"/>
  <c r="I115" i="4" s="1"/>
  <c r="H116" i="4"/>
  <c r="H115" i="4" s="1"/>
  <c r="G116" i="4"/>
  <c r="G115" i="4" s="1"/>
  <c r="K114" i="4"/>
  <c r="F114" i="4"/>
  <c r="K113" i="4"/>
  <c r="F113" i="4"/>
  <c r="K112" i="4"/>
  <c r="F112" i="4"/>
  <c r="K111" i="4"/>
  <c r="F111" i="4"/>
  <c r="K110" i="4"/>
  <c r="F110" i="4"/>
  <c r="K109" i="4"/>
  <c r="F109" i="4"/>
  <c r="K107" i="4"/>
  <c r="R107" i="4" s="1"/>
  <c r="K106" i="4"/>
  <c r="R106" i="4" s="1"/>
  <c r="K105" i="4"/>
  <c r="F105" i="4"/>
  <c r="K104" i="4"/>
  <c r="F104" i="4"/>
  <c r="K103" i="4"/>
  <c r="F103" i="4"/>
  <c r="K102" i="4"/>
  <c r="F102" i="4"/>
  <c r="K101" i="4"/>
  <c r="F101" i="4"/>
  <c r="K100" i="4"/>
  <c r="F100" i="4"/>
  <c r="K99" i="4"/>
  <c r="F99" i="4"/>
  <c r="K97" i="4"/>
  <c r="F97" i="4"/>
  <c r="K96" i="4"/>
  <c r="F96" i="4"/>
  <c r="K95" i="4"/>
  <c r="F95" i="4"/>
  <c r="K94" i="4"/>
  <c r="F94" i="4"/>
  <c r="K93" i="4"/>
  <c r="F93" i="4"/>
  <c r="R92" i="4"/>
  <c r="Q91" i="4"/>
  <c r="P91" i="4"/>
  <c r="O91" i="4"/>
  <c r="N91" i="4"/>
  <c r="M91" i="4"/>
  <c r="L91" i="4"/>
  <c r="J91" i="4"/>
  <c r="I91" i="4"/>
  <c r="H91" i="4"/>
  <c r="G91" i="4"/>
  <c r="Q90" i="4"/>
  <c r="P90" i="4"/>
  <c r="O90" i="4"/>
  <c r="N90" i="4"/>
  <c r="M90" i="4"/>
  <c r="L90" i="4"/>
  <c r="I90" i="4"/>
  <c r="G90" i="4"/>
  <c r="F90" i="4" s="1"/>
  <c r="P87" i="4"/>
  <c r="O87" i="4"/>
  <c r="N87" i="4"/>
  <c r="L87" i="4"/>
  <c r="G87" i="4"/>
  <c r="Q87" i="4"/>
  <c r="M87" i="4"/>
  <c r="J87" i="4"/>
  <c r="I87" i="4"/>
  <c r="O85" i="4"/>
  <c r="N85" i="4"/>
  <c r="M85" i="4"/>
  <c r="J85" i="4"/>
  <c r="I85" i="4"/>
  <c r="H85" i="4"/>
  <c r="P84" i="4"/>
  <c r="K84" i="4"/>
  <c r="F84" i="4"/>
  <c r="P83" i="4"/>
  <c r="K83" i="4"/>
  <c r="F83" i="4"/>
  <c r="P82" i="4"/>
  <c r="K82" i="4"/>
  <c r="F82" i="4"/>
  <c r="P81" i="4"/>
  <c r="K81" i="4"/>
  <c r="F81" i="4"/>
  <c r="P80" i="4"/>
  <c r="P14" i="4" s="1"/>
  <c r="P158" i="4" s="1"/>
  <c r="K80" i="4"/>
  <c r="K14" i="4" s="1"/>
  <c r="F80" i="4"/>
  <c r="Q79" i="4"/>
  <c r="Q11" i="4" s="1"/>
  <c r="P79" i="4"/>
  <c r="K79" i="4"/>
  <c r="F79" i="4"/>
  <c r="Q78" i="4"/>
  <c r="P78" i="4"/>
  <c r="K78" i="4"/>
  <c r="R78" i="4" s="1"/>
  <c r="P77" i="4"/>
  <c r="K77" i="4"/>
  <c r="F77" i="4"/>
  <c r="P76" i="4"/>
  <c r="K76" i="4"/>
  <c r="F76" i="4"/>
  <c r="P75" i="4"/>
  <c r="K75" i="4"/>
  <c r="R75" i="4" s="1"/>
  <c r="K74" i="4"/>
  <c r="F74" i="4"/>
  <c r="K73" i="4"/>
  <c r="F73" i="4"/>
  <c r="F72" i="4"/>
  <c r="R72" i="4" s="1"/>
  <c r="F71" i="4"/>
  <c r="R71" i="4" s="1"/>
  <c r="K70" i="4"/>
  <c r="F70" i="4"/>
  <c r="K69" i="4"/>
  <c r="F69" i="4"/>
  <c r="K68" i="4"/>
  <c r="F68" i="4"/>
  <c r="K67" i="4"/>
  <c r="F67" i="4"/>
  <c r="K66" i="4"/>
  <c r="F66" i="4"/>
  <c r="F65" i="4"/>
  <c r="R65" i="4" s="1"/>
  <c r="K64" i="4"/>
  <c r="F64" i="4"/>
  <c r="K63" i="4"/>
  <c r="F63" i="4"/>
  <c r="K62" i="4"/>
  <c r="F62" i="4"/>
  <c r="K61" i="4"/>
  <c r="F61" i="4"/>
  <c r="K58" i="4"/>
  <c r="F58" i="4"/>
  <c r="K57" i="4"/>
  <c r="F57" i="4"/>
  <c r="K56" i="4"/>
  <c r="R56" i="4" s="1"/>
  <c r="K55" i="4"/>
  <c r="F55" i="4"/>
  <c r="K54" i="4"/>
  <c r="F54" i="4"/>
  <c r="K53" i="4"/>
  <c r="F53" i="4"/>
  <c r="K52" i="4"/>
  <c r="G52" i="4"/>
  <c r="G85" i="4" s="1"/>
  <c r="K51" i="4"/>
  <c r="F51" i="4"/>
  <c r="K50" i="4"/>
  <c r="R50" i="4" s="1"/>
  <c r="K49" i="4"/>
  <c r="F49" i="4"/>
  <c r="K48" i="4"/>
  <c r="F48" i="4"/>
  <c r="K47" i="4"/>
  <c r="R47" i="4" s="1"/>
  <c r="K46" i="4"/>
  <c r="R46" i="4" s="1"/>
  <c r="K45" i="4"/>
  <c r="F45" i="4"/>
  <c r="K44" i="4"/>
  <c r="F44" i="4"/>
  <c r="K43" i="4"/>
  <c r="F43" i="4"/>
  <c r="K42" i="4"/>
  <c r="F42" i="4"/>
  <c r="K41" i="4"/>
  <c r="F41" i="4"/>
  <c r="R41" i="4" s="1"/>
  <c r="F40" i="4"/>
  <c r="R40" i="4" s="1"/>
  <c r="K39" i="4"/>
  <c r="F39" i="4"/>
  <c r="K38" i="4"/>
  <c r="F38" i="4"/>
  <c r="K37" i="4"/>
  <c r="F37" i="4"/>
  <c r="F36" i="4"/>
  <c r="R36" i="4" s="1"/>
  <c r="K35" i="4"/>
  <c r="F35" i="4"/>
  <c r="K34" i="4"/>
  <c r="F34" i="4"/>
  <c r="K33" i="4"/>
  <c r="F33" i="4"/>
  <c r="R33" i="4" s="1"/>
  <c r="L32" i="4"/>
  <c r="L85" i="4" s="1"/>
  <c r="K32" i="4"/>
  <c r="F32" i="4"/>
  <c r="F31" i="4"/>
  <c r="R31" i="4" s="1"/>
  <c r="F30" i="4"/>
  <c r="R30" i="4" s="1"/>
  <c r="F29" i="4"/>
  <c r="R29" i="4" s="1"/>
  <c r="K28" i="4"/>
  <c r="F28" i="4"/>
  <c r="R27" i="4"/>
  <c r="K26" i="4"/>
  <c r="F26" i="4"/>
  <c r="F25" i="4"/>
  <c r="R25" i="4" s="1"/>
  <c r="R24" i="4"/>
  <c r="F23" i="4"/>
  <c r="R23" i="4" s="1"/>
  <c r="R22" i="4"/>
  <c r="R21" i="4"/>
  <c r="R20" i="4"/>
  <c r="R19" i="4"/>
  <c r="K18" i="4"/>
  <c r="F18" i="4"/>
  <c r="F17" i="4"/>
  <c r="R17" i="4" s="1"/>
  <c r="K16" i="4"/>
  <c r="F16" i="4"/>
  <c r="K15" i="4"/>
  <c r="J15" i="4"/>
  <c r="G15" i="4"/>
  <c r="Q14" i="4"/>
  <c r="O14" i="4"/>
  <c r="N14" i="4"/>
  <c r="M14" i="4"/>
  <c r="L14" i="4"/>
  <c r="J14" i="4"/>
  <c r="G14" i="4"/>
  <c r="K13" i="4"/>
  <c r="F13" i="4"/>
  <c r="M86" i="4"/>
  <c r="L11" i="4"/>
  <c r="J12" i="4"/>
  <c r="J86" i="4" s="1"/>
  <c r="I12" i="4"/>
  <c r="I11" i="4" s="1"/>
  <c r="H12" i="4"/>
  <c r="H11" i="4" s="1"/>
  <c r="G12" i="4"/>
  <c r="E46" i="12"/>
  <c r="E45" i="12"/>
  <c r="F44" i="12"/>
  <c r="E44" i="12"/>
  <c r="C44" i="12" s="1"/>
  <c r="D44" i="12"/>
  <c r="E43" i="12"/>
  <c r="E32" i="12" s="1"/>
  <c r="E31" i="12" s="1"/>
  <c r="E47" i="12" s="1"/>
  <c r="E42" i="12"/>
  <c r="C42" i="12"/>
  <c r="F41" i="12"/>
  <c r="E41" i="12"/>
  <c r="D41" i="12"/>
  <c r="C41" i="12"/>
  <c r="F40" i="12"/>
  <c r="E40" i="12"/>
  <c r="D40" i="12"/>
  <c r="C40" i="12"/>
  <c r="F39" i="12"/>
  <c r="E39" i="12"/>
  <c r="D39" i="12"/>
  <c r="C39" i="12"/>
  <c r="F38" i="12"/>
  <c r="E38" i="12"/>
  <c r="D38" i="12"/>
  <c r="C38" i="12"/>
  <c r="F37" i="12"/>
  <c r="E37" i="12"/>
  <c r="D37" i="12"/>
  <c r="C37" i="12"/>
  <c r="F36" i="12"/>
  <c r="E36" i="12"/>
  <c r="D36" i="12"/>
  <c r="C36" i="12"/>
  <c r="F34" i="12"/>
  <c r="E34" i="12"/>
  <c r="D34" i="12"/>
  <c r="C34" i="12"/>
  <c r="F33" i="12"/>
  <c r="E33" i="12"/>
  <c r="C33" i="12" s="1"/>
  <c r="D33" i="12"/>
  <c r="F28" i="12"/>
  <c r="F46" i="12" s="1"/>
  <c r="D28" i="12"/>
  <c r="D46" i="12" s="1"/>
  <c r="F27" i="12"/>
  <c r="F45" i="12" s="1"/>
  <c r="D27" i="12"/>
  <c r="D45" i="12" s="1"/>
  <c r="C27" i="12"/>
  <c r="C26" i="12"/>
  <c r="F25" i="12"/>
  <c r="F43" i="12" s="1"/>
  <c r="F32" i="12" s="1"/>
  <c r="F31" i="12" s="1"/>
  <c r="F47" i="12" s="1"/>
  <c r="D25" i="12"/>
  <c r="D43" i="12" s="1"/>
  <c r="C24" i="12"/>
  <c r="G23" i="12"/>
  <c r="D23" i="12"/>
  <c r="C23" i="12"/>
  <c r="D22" i="12"/>
  <c r="C22" i="12"/>
  <c r="G21" i="12"/>
  <c r="F21" i="12"/>
  <c r="D21" i="12"/>
  <c r="C21" i="12"/>
  <c r="D20" i="12"/>
  <c r="C20" i="12"/>
  <c r="C19" i="12"/>
  <c r="F18" i="12"/>
  <c r="E18" i="12"/>
  <c r="D18" i="12"/>
  <c r="C18" i="12"/>
  <c r="F17" i="12"/>
  <c r="E17" i="12"/>
  <c r="D17" i="12"/>
  <c r="C17" i="12"/>
  <c r="F16" i="12"/>
  <c r="E16" i="12"/>
  <c r="C16" i="12" s="1"/>
  <c r="D16" i="12"/>
  <c r="E15" i="12"/>
  <c r="E14" i="12" s="1"/>
  <c r="C97" i="2"/>
  <c r="C96" i="2"/>
  <c r="C95" i="2"/>
  <c r="C94" i="2"/>
  <c r="C93" i="2"/>
  <c r="C92" i="2"/>
  <c r="C91" i="2"/>
  <c r="C90" i="2"/>
  <c r="D79" i="2"/>
  <c r="D78" i="2" s="1"/>
  <c r="C87" i="2"/>
  <c r="E86" i="2"/>
  <c r="D86" i="2"/>
  <c r="C86" i="2"/>
  <c r="C85" i="2"/>
  <c r="C84" i="2"/>
  <c r="C83" i="2"/>
  <c r="C82" i="2"/>
  <c r="C81" i="2"/>
  <c r="F80" i="2"/>
  <c r="E80" i="2"/>
  <c r="D80" i="2"/>
  <c r="C80" i="2"/>
  <c r="E79" i="2"/>
  <c r="E78" i="2" s="1"/>
  <c r="C76" i="2"/>
  <c r="F75" i="2"/>
  <c r="E75" i="2"/>
  <c r="E74" i="2" s="1"/>
  <c r="D75" i="2"/>
  <c r="C75" i="2"/>
  <c r="F74" i="2"/>
  <c r="D74" i="2"/>
  <c r="C74" i="2"/>
  <c r="C73" i="2"/>
  <c r="F72" i="2"/>
  <c r="F71" i="2" s="1"/>
  <c r="F70" i="2" s="1"/>
  <c r="F77" i="2" s="1"/>
  <c r="F99" i="2" s="1"/>
  <c r="E72" i="2"/>
  <c r="D72" i="2"/>
  <c r="D71" i="2" s="1"/>
  <c r="C72" i="2"/>
  <c r="E71" i="2"/>
  <c r="E70" i="2" s="1"/>
  <c r="E77" i="2" s="1"/>
  <c r="J70" i="2"/>
  <c r="I70" i="2"/>
  <c r="H70" i="2"/>
  <c r="J69" i="2"/>
  <c r="C69" i="2"/>
  <c r="J68" i="2"/>
  <c r="C68" i="2"/>
  <c r="J67" i="2"/>
  <c r="H67" i="2"/>
  <c r="E67" i="2"/>
  <c r="D67" i="2"/>
  <c r="C67" i="2"/>
  <c r="E66" i="2"/>
  <c r="D66" i="2"/>
  <c r="C66" i="2"/>
  <c r="C65" i="2"/>
  <c r="C64" i="2"/>
  <c r="E63" i="2"/>
  <c r="D63" i="2"/>
  <c r="C63" i="2"/>
  <c r="C62" i="2"/>
  <c r="C59" i="2" s="1"/>
  <c r="C58" i="2" s="1"/>
  <c r="C53" i="2" s="1"/>
  <c r="C61" i="2"/>
  <c r="C60" i="2"/>
  <c r="E59" i="2"/>
  <c r="D59" i="2"/>
  <c r="E58" i="2"/>
  <c r="D58" i="2"/>
  <c r="C57" i="2"/>
  <c r="C56" i="2"/>
  <c r="E55" i="2"/>
  <c r="D55" i="2"/>
  <c r="C55" i="2"/>
  <c r="E54" i="2"/>
  <c r="D54" i="2"/>
  <c r="C54" i="2"/>
  <c r="F53" i="2"/>
  <c r="E53" i="2"/>
  <c r="D53" i="2"/>
  <c r="C52" i="2"/>
  <c r="C51" i="2"/>
  <c r="C50" i="2"/>
  <c r="E49" i="2"/>
  <c r="D49" i="2"/>
  <c r="C49" i="2"/>
  <c r="E48" i="2"/>
  <c r="D48" i="2"/>
  <c r="C48" i="2"/>
  <c r="C47" i="2"/>
  <c r="C46" i="2"/>
  <c r="C45" i="2"/>
  <c r="C44" i="2" s="1"/>
  <c r="E44" i="2"/>
  <c r="D44" i="2"/>
  <c r="C43" i="2"/>
  <c r="C42" i="2"/>
  <c r="C41" i="2"/>
  <c r="C40" i="2"/>
  <c r="C39" i="2"/>
  <c r="C38" i="2"/>
  <c r="C37" i="2"/>
  <c r="C36" i="2"/>
  <c r="C35" i="2"/>
  <c r="C34" i="2"/>
  <c r="E33" i="2"/>
  <c r="D33" i="2"/>
  <c r="C33" i="2"/>
  <c r="C32" i="2" s="1"/>
  <c r="E32" i="2"/>
  <c r="D32" i="2"/>
  <c r="C31" i="2"/>
  <c r="C30" i="2"/>
  <c r="E29" i="2"/>
  <c r="D29" i="2"/>
  <c r="C29" i="2"/>
  <c r="C28" i="2"/>
  <c r="E27" i="2"/>
  <c r="D27" i="2"/>
  <c r="C27" i="2"/>
  <c r="E26" i="2"/>
  <c r="D26" i="2"/>
  <c r="C26" i="2"/>
  <c r="C25" i="2"/>
  <c r="D24" i="2"/>
  <c r="C24" i="2"/>
  <c r="C23" i="2"/>
  <c r="D22" i="2"/>
  <c r="C22" i="2"/>
  <c r="D21" i="2"/>
  <c r="C21" i="2"/>
  <c r="C20" i="2"/>
  <c r="D19" i="2"/>
  <c r="C19" i="2"/>
  <c r="C18" i="2"/>
  <c r="C17" i="2"/>
  <c r="C16" i="2"/>
  <c r="C15" i="2"/>
  <c r="C14" i="2"/>
  <c r="C13" i="2" s="1"/>
  <c r="C12" i="2" s="1"/>
  <c r="E13" i="2"/>
  <c r="D13" i="2"/>
  <c r="E12" i="2"/>
  <c r="D12" i="2"/>
  <c r="E11" i="2"/>
  <c r="D11" i="2"/>
  <c r="C155" i="10" l="1"/>
  <c r="F15" i="12"/>
  <c r="F14" i="12" s="1"/>
  <c r="F29" i="12" s="1"/>
  <c r="D15" i="12"/>
  <c r="C15" i="12" s="1"/>
  <c r="R39" i="4"/>
  <c r="R69" i="4"/>
  <c r="R101" i="4"/>
  <c r="R146" i="4"/>
  <c r="R149" i="4"/>
  <c r="F52" i="4"/>
  <c r="F85" i="4" s="1"/>
  <c r="R111" i="4"/>
  <c r="R51" i="4"/>
  <c r="R150" i="4"/>
  <c r="R62" i="4"/>
  <c r="R26" i="4"/>
  <c r="R74" i="4"/>
  <c r="R43" i="4"/>
  <c r="R112" i="4"/>
  <c r="R131" i="4"/>
  <c r="R127" i="4"/>
  <c r="R113" i="4"/>
  <c r="R124" i="4"/>
  <c r="R104" i="4"/>
  <c r="R137" i="4"/>
  <c r="R18" i="4"/>
  <c r="R73" i="4"/>
  <c r="R84" i="4"/>
  <c r="R122" i="4"/>
  <c r="G81" i="14"/>
  <c r="G110" i="14"/>
  <c r="G109" i="14" s="1"/>
  <c r="M81" i="14"/>
  <c r="K82" i="14"/>
  <c r="K80" i="14"/>
  <c r="L80" i="14"/>
  <c r="L90" i="14" s="1"/>
  <c r="K83" i="14"/>
  <c r="M83" i="14"/>
  <c r="M89" i="14" s="1"/>
  <c r="K89" i="14"/>
  <c r="P81" i="14"/>
  <c r="G59" i="14"/>
  <c r="J122" i="14"/>
  <c r="J126" i="14" s="1"/>
  <c r="I122" i="14"/>
  <c r="H122" i="14"/>
  <c r="N86" i="4"/>
  <c r="R58" i="4"/>
  <c r="C45" i="12"/>
  <c r="C28" i="12"/>
  <c r="E29" i="12"/>
  <c r="C43" i="12"/>
  <c r="D32" i="12"/>
  <c r="C25" i="12"/>
  <c r="R68" i="4"/>
  <c r="K152" i="4"/>
  <c r="K151" i="4" s="1"/>
  <c r="F14" i="4"/>
  <c r="R120" i="4"/>
  <c r="R133" i="4"/>
  <c r="K141" i="4"/>
  <c r="K140" i="4" s="1"/>
  <c r="F152" i="4"/>
  <c r="F151" i="4" s="1"/>
  <c r="R121" i="4"/>
  <c r="R147" i="4"/>
  <c r="R16" i="4"/>
  <c r="R38" i="4"/>
  <c r="R42" i="4"/>
  <c r="R55" i="4"/>
  <c r="R134" i="4"/>
  <c r="O86" i="4"/>
  <c r="R66" i="4"/>
  <c r="P11" i="4"/>
  <c r="P157" i="4" s="1"/>
  <c r="R76" i="4"/>
  <c r="R81" i="4"/>
  <c r="R123" i="4"/>
  <c r="R148" i="4"/>
  <c r="R32" i="4"/>
  <c r="R53" i="4"/>
  <c r="R63" i="4"/>
  <c r="K116" i="4"/>
  <c r="R132" i="4"/>
  <c r="R136" i="4"/>
  <c r="R156" i="4"/>
  <c r="R128" i="4"/>
  <c r="R125" i="4"/>
  <c r="R130" i="4"/>
  <c r="R126" i="4"/>
  <c r="R135" i="4"/>
  <c r="F118" i="4"/>
  <c r="F159" i="4" s="1"/>
  <c r="K90" i="4"/>
  <c r="M159" i="4"/>
  <c r="N159" i="4"/>
  <c r="O159" i="4"/>
  <c r="P159" i="4"/>
  <c r="Q159" i="4"/>
  <c r="R114" i="4"/>
  <c r="I159" i="4"/>
  <c r="R97" i="4"/>
  <c r="Q85" i="4"/>
  <c r="Q86" i="4" s="1"/>
  <c r="R77" i="4"/>
  <c r="M11" i="4"/>
  <c r="M157" i="4" s="1"/>
  <c r="N11" i="4"/>
  <c r="N157" i="4" s="1"/>
  <c r="R35" i="4"/>
  <c r="R13" i="4"/>
  <c r="F15" i="4"/>
  <c r="R15" i="4" s="1"/>
  <c r="J11" i="4"/>
  <c r="J157" i="4" s="1"/>
  <c r="K115" i="4"/>
  <c r="R144" i="4"/>
  <c r="R61" i="4"/>
  <c r="K11" i="4"/>
  <c r="R94" i="4"/>
  <c r="R44" i="4"/>
  <c r="R100" i="4"/>
  <c r="R37" i="4"/>
  <c r="K88" i="4"/>
  <c r="K87" i="4" s="1"/>
  <c r="R110" i="4"/>
  <c r="R45" i="4"/>
  <c r="R34" i="4"/>
  <c r="R93" i="4"/>
  <c r="F141" i="4"/>
  <c r="F140" i="4" s="1"/>
  <c r="F116" i="4"/>
  <c r="F115" i="4" s="1"/>
  <c r="F88" i="4"/>
  <c r="F87" i="4" s="1"/>
  <c r="R105" i="4"/>
  <c r="R28" i="4"/>
  <c r="R48" i="4"/>
  <c r="R70" i="4"/>
  <c r="R82" i="4"/>
  <c r="K91" i="4"/>
  <c r="R102" i="4"/>
  <c r="P85" i="4"/>
  <c r="R49" i="4"/>
  <c r="R57" i="4"/>
  <c r="R67" i="4"/>
  <c r="R80" i="4"/>
  <c r="R83" i="4"/>
  <c r="R103" i="4"/>
  <c r="R54" i="4"/>
  <c r="R64" i="4"/>
  <c r="R79" i="4"/>
  <c r="C50" i="10"/>
  <c r="E89" i="10"/>
  <c r="C31" i="10"/>
  <c r="C156" i="10"/>
  <c r="C157" i="10" s="1"/>
  <c r="G155" i="10"/>
  <c r="H155" i="10" s="1"/>
  <c r="E88" i="10"/>
  <c r="C126" i="10"/>
  <c r="C131" i="10"/>
  <c r="C88" i="2"/>
  <c r="D70" i="2"/>
  <c r="C71" i="2"/>
  <c r="C11" i="2"/>
  <c r="E99" i="2"/>
  <c r="C79" i="2"/>
  <c r="C78" i="2" s="1"/>
  <c r="G10" i="14"/>
  <c r="L159" i="4"/>
  <c r="O11" i="4"/>
  <c r="O157" i="4" s="1"/>
  <c r="R143" i="4"/>
  <c r="R154" i="4"/>
  <c r="F91" i="4"/>
  <c r="R99" i="4"/>
  <c r="R109" i="4"/>
  <c r="G159" i="4"/>
  <c r="R60" i="4"/>
  <c r="R119" i="4"/>
  <c r="H86" i="4"/>
  <c r="S88" i="4"/>
  <c r="R153" i="4"/>
  <c r="R96" i="4"/>
  <c r="C234" i="9"/>
  <c r="I68" i="7"/>
  <c r="I46" i="7"/>
  <c r="I45" i="7" s="1"/>
  <c r="N24" i="7"/>
  <c r="O24" i="7" s="1"/>
  <c r="K85" i="4"/>
  <c r="I86" i="4"/>
  <c r="I157" i="4"/>
  <c r="L86" i="4"/>
  <c r="L157" i="4"/>
  <c r="Q157" i="4"/>
  <c r="G86" i="4"/>
  <c r="G11" i="4"/>
  <c r="G157" i="4" s="1"/>
  <c r="R95" i="4"/>
  <c r="H87" i="4"/>
  <c r="H157" i="4" s="1"/>
  <c r="C211" i="9"/>
  <c r="D14" i="12" l="1"/>
  <c r="F12" i="4"/>
  <c r="F11" i="4" s="1"/>
  <c r="F157" i="4" s="1"/>
  <c r="R14" i="4"/>
  <c r="F158" i="4"/>
  <c r="R158" i="4"/>
  <c r="R52" i="4"/>
  <c r="R85" i="4" s="1"/>
  <c r="R151" i="4"/>
  <c r="P86" i="4"/>
  <c r="K159" i="4"/>
  <c r="R159" i="4" s="1"/>
  <c r="G122" i="14"/>
  <c r="M80" i="14"/>
  <c r="M82" i="14"/>
  <c r="K91" i="14"/>
  <c r="M91" i="14" s="1"/>
  <c r="K90" i="14"/>
  <c r="M90" i="14" s="1"/>
  <c r="C32" i="12"/>
  <c r="D31" i="12"/>
  <c r="R141" i="4"/>
  <c r="R140" i="4" s="1"/>
  <c r="R90" i="4"/>
  <c r="R116" i="4"/>
  <c r="R115" i="4" s="1"/>
  <c r="K157" i="4"/>
  <c r="R11" i="4"/>
  <c r="K86" i="4"/>
  <c r="R88" i="4"/>
  <c r="R87" i="4" s="1"/>
  <c r="R91" i="4"/>
  <c r="F80" i="10"/>
  <c r="C70" i="10"/>
  <c r="C29" i="10" s="1"/>
  <c r="C12" i="10" s="1"/>
  <c r="C70" i="2"/>
  <c r="C77" i="2" s="1"/>
  <c r="C99" i="2" s="1"/>
  <c r="D77" i="2"/>
  <c r="D99" i="2" s="1"/>
  <c r="R152" i="4"/>
  <c r="D235" i="9"/>
  <c r="I10" i="7"/>
  <c r="F86" i="4" l="1"/>
  <c r="D29" i="12"/>
  <c r="C29" i="12" s="1"/>
  <c r="C14" i="12"/>
  <c r="D47" i="12"/>
  <c r="C31" i="12"/>
  <c r="S89" i="4"/>
  <c r="R157" i="4"/>
  <c r="R86" i="4"/>
  <c r="D29" i="10"/>
  <c r="C125" i="10"/>
  <c r="C124" i="10" s="1"/>
  <c r="D170" i="9"/>
  <c r="D232" i="9"/>
  <c r="C235" i="9"/>
  <c r="C237" i="9" s="1"/>
  <c r="C238" i="9" s="1"/>
  <c r="C232" i="9"/>
  <c r="S157" i="4" l="1"/>
  <c r="D238" i="9"/>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<sst xmlns="http://schemas.openxmlformats.org/spreadsheetml/2006/main" count="2577" uniqueCount="1108">
  <si>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</si>
  <si>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</si>
  <si>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</si>
  <si>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</si>
  <si>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</si>
  <si>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</si>
  <si>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</si>
  <si>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</si>
  <si>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</si>
  <si>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</si>
  <si>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</si>
  <si>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</si>
  <si>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</si>
  <si>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</si>
  <si>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</si>
  <si>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</si>
  <si>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</si>
  <si>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</si>
  <si>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</si>
  <si>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</si>
  <si>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</si>
  <si>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</si>
  <si>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</si>
  <si>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</si>
  <si>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</si>
  <si>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</si>
  <si>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</si>
  <si>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</si>
  <si>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</si>
  <si>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</si>
  <si>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</si>
  <si>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</si>
  <si>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</si>
  <si>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</si>
  <si>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</si>
  <si>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</si>
  <si>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</si>
  <si>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</si>
  <si>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</si>
  <si>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</si>
  <si>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</si>
  <si>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</si>
  <si>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</si>
  <si>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</si>
  <si>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</si>
  <si>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</si>
  <si>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</si>
  <si>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</si>
  <si>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</si>
  <si>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</si>
  <si>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</si>
  <si>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</si>
  <si>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</si>
  <si>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</si>
  <si>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</si>
  <si>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</si>
  <si>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</si>
  <si>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</si>
  <si>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</si>
  <si>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</si>
  <si>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</si>
  <si>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</si>
  <si>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</si>
  <si>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</si>
  <si>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</si>
  <si>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</si>
  <si>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</si>
  <si>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</si>
  <si>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</si>
  <si>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</si>
  <si>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</si>
  <si>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</si>
  <si>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</si>
  <si>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</si>
  <si>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</si>
  <si>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</si>
  <si>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</si>
  <si>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</si>
  <si>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</si>
  <si>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</si>
  <si>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</si>
  <si>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</si>
  <si>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</si>
  <si>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</si>
  <si>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</si>
  <si>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</si>
  <si>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</si>
  <si>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</si>
  <si>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</si>
  <si>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</si>
  <si>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</si>
  <si>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</si>
  <si>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</si>
  <si>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</si>
  <si>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</si>
  <si>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</si>
  <si>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</si>
  <si>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</si>
  <si>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</si>
  <si>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</si>
  <si>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</si>
  <si>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</si>
  <si>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</si>
  <si>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</si>
  <si>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</si>
  <si>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</si>
  <si>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</si>
  <si>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</si>
  <si>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</si>
  <si>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</si>
  <si>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</si>
  <si>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</si>
  <si>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</si>
  <si>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</si>
  <si>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</si>
  <si>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</si>
  <si>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</si>
  <si>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</si>
  <si>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</si>
  <si>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</si>
  <si>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</si>
  <si>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</si>
  <si>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</si>
  <si>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</si>
  <si>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</si>
  <si>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</si>
  <si>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</si>
  <si>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</si>
  <si>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</si>
  <si>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</si>
  <si>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</si>
  <si>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</si>
  <si>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</si>
  <si>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</si>
  <si>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</si>
  <si>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</si>
  <si>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</si>
  <si>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</si>
  <si>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</si>
  <si>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</si>
  <si>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</si>
  <si>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</si>
  <si>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</si>
  <si>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</si>
  <si>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</si>
  <si>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</si>
  <si>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</si>
  <si>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</si>
  <si>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</si>
  <si>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</si>
  <si>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</si>
  <si>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</si>
  <si>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</si>
  <si>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</si>
  <si>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</si>
  <si>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</si>
  <si>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</si>
  <si>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</si>
  <si>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</si>
  <si>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</si>
  <si>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</si>
  <si>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</si>
  <si>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</si>
  <si>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</si>
  <si>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</si>
  <si>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</si>
  <si>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</si>
  <si>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</si>
  <si>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</si>
  <si>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</si>
  <si>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</si>
  <si>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</si>
  <si>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</si>
  <si>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</si>
  <si>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</si>
  <si>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</si>
  <si>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</si>
  <si>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</si>
  <si>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</si>
  <si>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</si>
  <si>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</si>
  <si>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</si>
  <si>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</si>
  <si>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</si>
  <si>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</si>
  <si>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</si>
  <si>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</si>
  <si>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</si>
  <si>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</si>
  <si>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</si>
  <si>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</si>
  <si>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</si>
  <si>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</si>
  <si>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</si>
  <si>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</si>
  <si>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</si>
  <si>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</si>
  <si>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</si>
  <si>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</si>
  <si>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</si>
  <si>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</si>
  <si>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</si>
  <si>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</si>
  <si>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</si>
  <si>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</si>
  <si>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</si>
  <si>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</si>
  <si>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</si>
  <si>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</si>
  <si>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</si>
  <si>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</si>
  <si>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</si>
  <si>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</si>
  <si>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</si>
  <si>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</si>
  <si>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</si>
  <si>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</si>
  <si>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</si>
  <si>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</si>
  <si>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</si>
  <si>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</si>
  <si>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</si>
  <si>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</si>
  <si>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</si>
  <si>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</si>
  <si>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</si>
  <si>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</si>
  <si>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</si>
  <si>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</si>
  <si>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</si>
  <si>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</si>
  <si>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</si>
  <si>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</si>
  <si>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</si>
  <si>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</si>
  <si>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</si>
  <si>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</si>
  <si>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</si>
  <si>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</si>
  <si>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</si>
  <si>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</si>
  <si>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</si>
  <si>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</si>
  <si>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</si>
  <si>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</si>
  <si>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</si>
  <si>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</si>
  <si>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</si>
  <si>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</si>
  <si>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</si>
  <si>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</si>
  <si>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</si>
  <si>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</si>
  <si>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</si>
  <si>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</si>
  <si>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</si>
  <si>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</si>
  <si>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</si>
  <si>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</si>
  <si>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</si>
  <si>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</si>
  <si>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</si>
  <si>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</si>
  <si>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</si>
  <si>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</si>
  <si>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</si>
  <si>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</si>
  <si>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</si>
  <si>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</si>
  <si>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</si>
  <si>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</si>
  <si>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</si>
  <si>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</si>
  <si>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</si>
  <si>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</si>
  <si>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</si>
  <si>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</si>
  <si>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</si>
  <si>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</si>
  <si>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</si>
  <si>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</si>
  <si>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</si>
  <si>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</si>
  <si>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</si>
  <si>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</si>
  <si>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</si>
  <si>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</si>
  <si>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</si>
  <si>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</si>
  <si>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</si>
  <si>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</si>
  <si>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</si>
  <si>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</si>
  <si>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</si>
  <si>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</si>
  <si>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</si>
  <si>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</si>
  <si>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</si>
  <si>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</si>
  <si>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</si>
  <si>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</si>
  <si>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</si>
  <si>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</si>
  <si>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</si>
  <si>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</si>
  <si>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</si>
  <si>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</si>
  <si>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</si>
  <si>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</si>
  <si>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</si>
  <si>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</si>
  <si>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</si>
  <si>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</si>
  <si>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</si>
  <si>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</si>
  <si>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</si>
  <si>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</si>
  <si>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</si>
  <si>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</si>
  <si>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</si>
  <si>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</si>
  <si>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</si>
  <si>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</si>
  <si>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</si>
  <si>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</si>
  <si>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</si>
  <si>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</si>
  <si>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</si>
  <si>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</si>
  <si>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</si>
  <si>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</si>
  <si>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</si>
  <si>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</si>
  <si>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</si>
  <si>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</si>
  <si>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</si>
  <si>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</si>
  <si>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</si>
  <si>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</si>
  <si>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</si>
  <si>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</si>
  <si>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</si>
  <si>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</si>
  <si>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</si>
  <si>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</si>
  <si>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</si>
  <si>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</si>
  <si>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</si>
  <si>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</si>
  <si>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</si>
  <si>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</si>
  <si>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</si>
  <si>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</si>
  <si>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</si>
  <si>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</si>
  <si>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</si>
  <si>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</si>
  <si>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</si>
  <si>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</si>
  <si>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</si>
  <si>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</si>
  <si>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</si>
  <si>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</si>
  <si>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</si>
  <si>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</si>
  <si>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</si>
  <si>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</si>
  <si>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</si>
  <si>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</si>
  <si>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</si>
  <si>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</si>
  <si>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</si>
  <si>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</si>
  <si>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</si>
  <si>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</si>
  <si>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</si>
  <si>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</si>
  <si>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</si>
  <si>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</si>
  <si>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</si>
  <si>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</si>
  <si>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</si>
  <si>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</si>
  <si>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</si>
  <si>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</si>
  <si>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</si>
  <si>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</si>
  <si>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</si>
  <si>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</si>
  <si>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</si>
  <si>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2010</t>
  </si>
  <si>
    <t>0731</t>
  </si>
  <si>
    <t>Багатопрофільна стаціонарна медична допомога населенню</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</si>
  <si>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</si>
  <si>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</si>
  <si>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</si>
  <si>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</si>
  <si>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</si>
  <si>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</si>
  <si>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</si>
  <si>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</si>
  <si>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</si>
  <si>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</si>
  <si>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</si>
  <si>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</si>
  <si>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</si>
  <si>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</si>
  <si>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</si>
  <si>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</si>
  <si>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</si>
  <si>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</si>
  <si>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</si>
  <si>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</si>
  <si>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</si>
  <si>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</si>
  <si>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</si>
  <si>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</si>
  <si>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</si>
  <si>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</si>
  <si>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</si>
  <si>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</si>
  <si>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</si>
  <si>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</si>
  <si>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</si>
  <si>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</si>
  <si>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</si>
  <si>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</si>
  <si>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</si>
  <si>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</si>
  <si>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</si>
  <si>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</si>
  <si>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</si>
  <si>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</si>
  <si>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</si>
  <si>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</si>
  <si>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</si>
  <si>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</si>
  <si>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</si>
  <si>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</si>
  <si>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</si>
  <si>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</si>
  <si>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</si>
  <si>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</si>
  <si>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</si>
  <si>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</si>
  <si>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0611160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</si>
  <si>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</si>
  <si>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</si>
  <si>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</si>
  <si>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</si>
  <si>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</si>
  <si>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</si>
  <si>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</si>
  <si>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</si>
  <si>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</si>
  <si>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</si>
  <si>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</si>
  <si>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</si>
  <si>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</si>
  <si>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</si>
  <si>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</si>
  <si>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</si>
  <si>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</si>
  <si>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</si>
  <si>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</si>
  <si>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</si>
  <si>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</si>
  <si>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</si>
  <si>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</si>
  <si>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</si>
  <si>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</si>
  <si>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</si>
  <si>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</si>
  <si>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</si>
  <si>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</si>
  <si>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</si>
  <si>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</si>
  <si>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</si>
  <si>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</si>
  <si>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</si>
  <si>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</si>
  <si>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</si>
  <si>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</si>
  <si>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</si>
  <si>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</si>
  <si>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</si>
  <si>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</si>
  <si>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</si>
  <si>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</si>
  <si>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</si>
  <si>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</si>
  <si>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</si>
  <si>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</si>
  <si>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</si>
  <si>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</si>
  <si>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</si>
  <si>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</si>
  <si>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</si>
  <si>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</si>
  <si>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</si>
  <si>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</si>
  <si>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</si>
  <si>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</si>
  <si>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</si>
  <si>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</si>
  <si>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</si>
  <si>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</si>
  <si>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</si>
  <si>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</si>
  <si>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</si>
  <si>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</si>
  <si>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</si>
  <si>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</si>
  <si>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</si>
  <si>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</si>
  <si>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</si>
  <si>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</si>
  <si>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</si>
  <si>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</si>
  <si>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</si>
  <si>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</si>
  <si>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</si>
  <si>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</si>
  <si>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</si>
  <si>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</si>
  <si>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</si>
  <si>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</si>
  <si>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</si>
  <si>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</si>
  <si>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</si>
  <si>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</si>
  <si>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</si>
  <si>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</si>
  <si>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</si>
  <si>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</si>
  <si>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</si>
  <si>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</si>
  <si>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</si>
  <si>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</si>
  <si>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</si>
  <si>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</si>
  <si>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</si>
  <si>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</si>
  <si>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</si>
  <si>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</si>
  <si>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</si>
  <si>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</si>
  <si>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</si>
  <si>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</si>
  <si>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</si>
  <si>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</si>
  <si>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</si>
  <si>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</si>
  <si>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</si>
  <si>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</si>
  <si>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2018-2019</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</si>
  <si>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</si>
  <si>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</si>
  <si>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</si>
  <si>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</si>
  <si>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</si>
  <si>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</si>
  <si>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</si>
  <si>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</si>
  <si>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</si>
  <si>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</si>
  <si>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</si>
  <si>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</si>
  <si>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</si>
  <si>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</si>
  <si>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</si>
  <si>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</si>
  <si>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</si>
  <si>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</si>
  <si>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10.11.2020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</si>
  <si>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</si>
  <si>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</si>
  <si>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</si>
  <si>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</si>
  <si>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</si>
  <si>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</si>
  <si>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</si>
  <si>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</si>
  <si>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</si>
  <si>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</si>
  <si>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</si>
  <si>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</si>
  <si>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</si>
  <si>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</si>
  <si>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</si>
  <si>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</si>
  <si>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</si>
  <si>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</si>
  <si>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</si>
  <si>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</si>
  <si>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</si>
  <si>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</si>
  <si>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</si>
  <si>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0611020 </t>
  </si>
  <si>
    <t xml:space="preserve">Відділ освіти </t>
  </si>
  <si>
    <t xml:space="preserve">01.11.2019        №220/01-17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</si>
  <si>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</si>
  <si>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</si>
  <si>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</si>
  <si>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 xml:space="preserve">0611090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</si>
  <si>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</si>
  <si>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0611161</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</si>
  <si>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</si>
  <si>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</si>
  <si>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</si>
  <si>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</si>
  <si>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</si>
  <si>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</si>
  <si>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</si>
  <si>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</si>
  <si>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</si>
  <si>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</si>
  <si>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</si>
  <si>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</si>
  <si>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</si>
  <si>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</si>
  <si>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</si>
  <si>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</si>
  <si>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</si>
  <si>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</si>
  <si>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</si>
  <si>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</si>
  <si>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</si>
  <si>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</si>
  <si>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</si>
  <si>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</si>
  <si>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</si>
  <si>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</si>
  <si>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</si>
  <si>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</si>
  <si>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</si>
  <si>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</si>
  <si>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</si>
  <si>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</si>
  <si>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</si>
  <si>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</si>
  <si>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0800000</t>
  </si>
  <si>
    <t>Управління соціального захисту та охорони здоров'я  Новоукраїнської міської ради</t>
  </si>
  <si>
    <t>0810000</t>
  </si>
  <si>
    <t>11506000000</t>
  </si>
  <si>
    <t>11513000000</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</si>
  <si>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</si>
  <si>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</si>
  <si>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</si>
  <si>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</si>
  <si>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</si>
  <si>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</si>
  <si>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</si>
  <si>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</si>
  <si>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</si>
  <si>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</si>
  <si>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</si>
  <si>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</si>
  <si>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</si>
  <si>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</si>
  <si>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</si>
  <si>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</si>
  <si>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</si>
  <si>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</si>
  <si>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</si>
  <si>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</si>
  <si>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</si>
  <si>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</si>
  <si>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</si>
  <si>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</si>
  <si>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</si>
  <si>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</si>
  <si>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</si>
  <si>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</si>
  <si>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</si>
  <si>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</si>
  <si>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</si>
  <si>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</si>
  <si>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</si>
  <si>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</si>
  <si>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</si>
  <si>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</si>
  <si>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</si>
  <si>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</si>
  <si>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</si>
  <si>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</si>
  <si>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</si>
  <si>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</si>
  <si>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</si>
  <si>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</si>
  <si>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</si>
  <si>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</si>
  <si>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</si>
  <si>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</si>
  <si>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</si>
  <si>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</si>
  <si>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</si>
  <si>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</si>
  <si>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</si>
  <si>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</si>
  <si>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</si>
  <si>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</si>
  <si>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</si>
  <si>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</si>
  <si>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</si>
  <si>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</si>
  <si>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</si>
  <si>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</si>
  <si>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</si>
  <si>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</si>
  <si>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</si>
  <si>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</si>
  <si>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</si>
  <si>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</si>
  <si>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</si>
  <si>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</si>
  <si>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</si>
  <si>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</si>
  <si>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</si>
  <si>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</si>
  <si>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</si>
  <si>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</si>
  <si>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</si>
  <si>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</si>
  <si>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</si>
  <si>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</si>
  <si>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</si>
  <si>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</si>
  <si>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</si>
  <si>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</si>
  <si>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</si>
  <si>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</si>
  <si>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</si>
  <si>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</si>
  <si>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</si>
  <si>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</si>
  <si>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</si>
  <si>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 xml:space="preserve">0611021 </t>
  </si>
  <si>
    <t xml:space="preserve">09.03.2021        №01-14/135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</si>
  <si>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</si>
  <si>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</si>
  <si>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</si>
  <si>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</si>
  <si>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2019-2021</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</si>
  <si>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</si>
  <si>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0611070 </t>
  </si>
  <si>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</si>
  <si>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</si>
  <si>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</si>
  <si>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</si>
  <si>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</si>
  <si>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07.04.2021 б/н</t>
  </si>
  <si>
    <t>08.04.2021 №82/04-53</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</si>
  <si>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</si>
  <si>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</si>
  <si>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</si>
  <si>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16.04.2021 б/н</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</si>
  <si>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</si>
  <si>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</si>
  <si>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</si>
  <si>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</si>
  <si>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t>23.04.2021 б/н</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</si>
  <si>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</si>
  <si>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</si>
  <si>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</si>
  <si>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</si>
  <si>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 xml:space="preserve">до рішення </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</si>
  <si>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</si>
  <si>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</si>
  <si>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</si>
  <si>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</si>
  <si>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</si>
  <si>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</si>
  <si>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29.04.2021 б/н</t>
  </si>
  <si>
    <t xml:space="preserve">07.05.2021        №314/01-14 </t>
  </si>
  <si>
    <t>0117693</t>
  </si>
  <si>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</si>
  <si>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</si>
  <si>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</si>
  <si>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</si>
  <si>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t>7693</t>
  </si>
  <si>
    <t>Інші заходи, пов'язані з економічною діяльністю</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</si>
  <si>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</si>
  <si>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</si>
  <si>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t xml:space="preserve"> оплата праці пологового відділення</t>
  </si>
  <si>
    <t xml:space="preserve">придбання медикаментів та інші матеріали  для  пологового відділення </t>
  </si>
  <si>
    <t xml:space="preserve">0611141 </t>
  </si>
  <si>
    <t>02.06.2021 №53/01-29</t>
  </si>
  <si>
    <r>
      <t>Додаткові кошти в сумі 5405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</si>
  <si>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278 від 25.05.2021 року</t>
  </si>
  <si>
    <r>
      <t xml:space="preserve">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соціальної підтримки населення на території Новоукраїнської міської об'єднаної територіальної громади на 2021-2023 роки для відшкодування коштів за пільговий проїзд учасникам бойових дій Другої Світової   війни, бойових дій на території інших країн, особам з інвалідністю внаслідок війни та членам сімей загиблих воїнів-  інтернаціоналістів </t>
    </r>
    <r>
      <rPr>
        <sz val="12"/>
        <color indexed="8"/>
        <rFont val="Times New Roman"/>
        <family val="1"/>
        <charset val="204"/>
      </rPr>
      <t>Новоукраїнської міської ради,  КЕКВ 2730</t>
    </r>
  </si>
  <si>
    <t xml:space="preserve">03.06.2021  б/н </t>
  </si>
  <si>
    <t>на придбання медикаментів (забезпечення безкоштовним пільговим відпуском медикаментів та інших)</t>
  </si>
  <si>
    <r>
      <t>Додаткові кошти в сумі 10980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</si>
  <si>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Перерозподіл бюджетних призначень в межах виділених річних асигнувань в сумі 23500 грн., перенесення фінансування з КПКВ 0117363 КЕКВ 3142, а саме збільшення фінансування на придбання глибинного насосу  для Новоукраїнського ЖКП,  для вирішення питання безперебійного водопостачання на ремонт свердловини по вул.Шевченка КЕКВ 3110 </t>
  </si>
  <si>
    <t>14.06.2021 №165</t>
  </si>
  <si>
    <t>28521/5/11-28-24-04 від 17.05.21 постанова № 1330 від 28.12.20</t>
  </si>
  <si>
    <r>
      <t xml:space="preserve">Перерозподіл бюджетних призначень в межах виділених річних асигнувань в сумі  22000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2240,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</si>
  <si>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t>29.06.2021        №87</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</si>
  <si>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</si>
  <si>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0117540</t>
  </si>
  <si>
    <t>7540</t>
  </si>
  <si>
    <t>0460</t>
  </si>
  <si>
    <t>Реалізація заходів, спрямованих на підвищення доступності широкосмугового доступу до Інтернету в сільській місцевості</t>
  </si>
  <si>
    <t>22.06.2021 б/н</t>
  </si>
  <si>
    <t>0611182</t>
  </si>
  <si>
    <t xml:space="preserve">02.07.2021        №01-14/414 </t>
  </si>
  <si>
    <t>Додаткові кошти на  співфінансування в розмірі 10 % в сумі 2500 грн., відповідно до розпорядження голови ОДА № 265-р від 03 травня 2018 року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на оплату витрат на відрядження вчителів, асистентів вчителів закладів загальної середньої освіти з інклюзивним та інтегрованим навчанням КЕКВ 2250 та на закупівлю дидактичних матеріалів, сучасних меблів в сумі 45200 грн. КЕКВ 2210</t>
  </si>
  <si>
    <t>29.06.2021 б/н</t>
  </si>
  <si>
    <t>17.06.2021 №131/04-53</t>
  </si>
  <si>
    <t xml:space="preserve">02.07.2021        №01-14/415 </t>
  </si>
  <si>
    <t>0611181</t>
  </si>
  <si>
    <t>30.06.2021        №182/01-20</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</si>
  <si>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на КПКВ 1014082 КЕКВ 2240, </t>
    </r>
    <r>
      <rPr>
        <b/>
        <sz val="12"/>
        <color indexed="8"/>
        <rFont val="Times New Roman"/>
        <family val="1"/>
        <charset val="204"/>
      </rPr>
      <t xml:space="preserve">зменшення фінансування  на придбання бензину в сумі 30000 грн., газу в  сумі 10000 грн.,  оприскувачів сумі 5000 грн. </t>
    </r>
    <r>
      <rPr>
        <sz val="12"/>
        <color indexed="8"/>
        <rFont val="Times New Roman"/>
        <family val="1"/>
        <charset val="204"/>
      </rPr>
      <t>КЕКВ 2210</t>
    </r>
  </si>
  <si>
    <t>05.07.2020 б/н</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</si>
  <si>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0118110 КЕКВ 2210, збільшення фінансування на </t>
    </r>
    <r>
      <rPr>
        <b/>
        <sz val="12"/>
        <color indexed="8"/>
        <rFont val="Times New Roman"/>
        <family val="1"/>
        <charset val="204"/>
      </rPr>
      <t xml:space="preserve">проведення робіт з підготовки та  упорядкування території громади до відзначення Дня незалежності України та святкування дня села </t>
    </r>
    <r>
      <rPr>
        <sz val="12"/>
        <color indexed="8"/>
        <rFont val="Times New Roman"/>
        <family val="1"/>
        <charset val="204"/>
      </rPr>
      <t>КЕКВ 2240</t>
    </r>
  </si>
  <si>
    <t>1182</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</si>
  <si>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</si>
  <si>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</si>
  <si>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</si>
  <si>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 тому числі за рахунок субвенції з державного бюджету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</si>
  <si>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</si>
  <si>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0611210</t>
  </si>
  <si>
    <t>1210</t>
  </si>
  <si>
    <r>
      <t xml:space="preserve">Перерозподіл бюджетних призначень в межах виділених річних асигнувань в сумі 15000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t>
    </r>
    <r>
      <rPr>
        <b/>
        <sz val="12"/>
        <color indexed="8"/>
        <rFont val="Times New Roman"/>
        <family val="1"/>
        <charset val="204"/>
      </rPr>
      <t xml:space="preserve">для проведення технічної інвентаризації нерухомого майна водопровідного господарства з виготовленням технічного паспорту,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</si>
  <si>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212753 грн., перенесення фінансування з КПКВ 0611021 КЕКВ 2230, а саме збільшення фінансування відповідно  до постанови Кабінету Міністрів України від 4 квітня 2018 р. N 237 (із змінами) та розпорядження голови ОДА №478-р від 26 червня 2021 року, за рахунок </t>
    </r>
    <r>
      <rPr>
        <b/>
        <sz val="12"/>
        <rFont val="Times New Roman"/>
        <family val="1"/>
        <charset val="204"/>
      </rPr>
      <t>співфінансування з бюджету  Новоукраїнської  міської  територіальної громади на закупівлю засобів навчання та обладнання, сучасних меблів, комп'ютерного обладнання</t>
    </r>
    <r>
      <rPr>
        <sz val="12"/>
        <rFont val="Times New Roman"/>
        <family val="1"/>
        <charset val="204"/>
      </rPr>
      <t xml:space="preserve"> КЕКВ 2210</t>
    </r>
  </si>
  <si>
    <r>
      <t xml:space="preserve">Додаткові кошти  в сумі 666841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</si>
  <si>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r>
      <t>Перерозподіл бюджетних призначень в межах виділених річних асигнувань в сумі 156566 грн., перенесення фінансування  з КПКВ 0611200 КЕКВ 3110, а саме збільшення фінансування</t>
    </r>
    <r>
      <rPr>
        <b/>
        <sz val="12"/>
        <color indexed="8"/>
        <rFont val="Times New Roman"/>
        <family val="1"/>
        <charset val="204"/>
      </rPr>
      <t xml:space="preserve"> для придбання спеціальних засобів корекції психофізичного розвитку для осіб з особливими освітніми потребами</t>
    </r>
    <r>
      <rPr>
        <sz val="12"/>
        <color indexed="8"/>
        <rFont val="Times New Roman"/>
        <family val="1"/>
        <charset val="204"/>
      </rPr>
      <t>, так як вартість одиниці товару становить менше 20000 грн. КЕКВ 2210</t>
    </r>
  </si>
  <si>
    <r>
      <t>Додаткові кошти  в сумі  308900 грн.,  а саме відповідно  до постанови Кабінету Міністрів України від 02  червня 2021 р. N 585 та розпорядження голови ОДА №476-р від 24 червня 2021 року, з</t>
    </r>
    <r>
      <rPr>
        <b/>
        <sz val="12"/>
        <color indexed="8"/>
        <rFont val="Times New Roman"/>
        <family val="1"/>
        <charset val="204"/>
      </rPr>
      <t>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t>
    </r>
    <r>
      <rPr>
        <sz val="12"/>
        <color indexed="8"/>
        <rFont val="Times New Roman"/>
        <family val="1"/>
        <charset val="204"/>
      </rPr>
      <t xml:space="preserve"> КЕКВ 2730</t>
    </r>
  </si>
  <si>
    <r>
      <t xml:space="preserve">Перерозподіл бюджетних призначень в межах виділених річних асигнувань в сумі 10700 грн., перенесення фінансування   на КПКВ 0116030 КЕКВ 2240,  а </t>
    </r>
    <r>
      <rPr>
        <b/>
        <sz val="12"/>
        <color theme="1"/>
        <rFont val="Times New Roman"/>
        <family val="1"/>
        <charset val="204"/>
      </rPr>
      <t>саме зменшення фінансування  з міні - проектів у зв'язку з економією коштів</t>
    </r>
    <r>
      <rPr>
        <sz val="12"/>
        <color theme="1"/>
        <rFont val="Times New Roman"/>
        <family val="1"/>
        <charset val="204"/>
      </rPr>
      <t xml:space="preserve">   КЕКВ 3110</t>
    </r>
  </si>
  <si>
    <r>
      <t xml:space="preserve"> 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 </t>
    </r>
    <r>
      <rPr>
        <b/>
        <sz val="12"/>
        <rFont val="Times New Roman"/>
        <family val="1"/>
        <charset val="204"/>
      </rPr>
      <t xml:space="preserve">проведення ринкової оціночної вартості кабінетів  приміщення КУ "Центр соціальних послуг" </t>
    </r>
    <r>
      <rPr>
        <sz val="12"/>
        <rFont val="Times New Roman"/>
        <family val="1"/>
        <charset val="204"/>
      </rPr>
      <t xml:space="preserve"> КЕКВ 2240</t>
    </r>
  </si>
  <si>
    <r>
      <t xml:space="preserve">Перерозподіл бюджетних призначень в межах виділених річних асигнувань в сумі 5000 грн., перенесення фінансування   на КПКВ 0116030 КЕКВ 2240,  а саме </t>
    </r>
    <r>
      <rPr>
        <b/>
        <sz val="12"/>
        <color indexed="8"/>
        <rFont val="Times New Roman"/>
        <family val="1"/>
        <charset val="204"/>
      </rPr>
      <t>зменшення фінансування  з   придбання трактора МТЗ 1523</t>
    </r>
    <r>
      <rPr>
        <sz val="12"/>
        <color indexed="8"/>
        <rFont val="Times New Roman"/>
        <family val="1"/>
        <charset val="204"/>
      </rPr>
      <t xml:space="preserve"> </t>
    </r>
    <r>
      <rPr>
        <b/>
        <sz val="12"/>
        <color indexed="8"/>
        <rFont val="Times New Roman"/>
        <family val="1"/>
        <charset val="204"/>
      </rPr>
      <t xml:space="preserve">для  Новоукраїнського ЖКП </t>
    </r>
    <r>
      <rPr>
        <sz val="12"/>
        <color indexed="8"/>
        <rFont val="Times New Roman"/>
        <family val="1"/>
        <charset val="204"/>
      </rPr>
      <t xml:space="preserve">КЕКВ 3110  </t>
    </r>
    <r>
      <rPr>
        <b/>
        <sz val="12"/>
        <color indexed="8"/>
        <rFont val="Times New Roman"/>
        <family val="1"/>
        <charset val="204"/>
      </rPr>
      <t>за рахунок економії коштів</t>
    </r>
  </si>
  <si>
    <r>
      <t>Перерозподіл бюджетних призначень в межах виділених річних асигнувань в сумі 175000 грн.,  перенесення фінансування  з КПКВ 0117363 КЕКВ 3142, а саме збільшення фінансування  на</t>
    </r>
    <r>
      <rPr>
        <b/>
        <sz val="12"/>
        <rFont val="Times New Roman"/>
        <family val="1"/>
        <charset val="204"/>
      </rPr>
      <t xml:space="preserve"> виготовлення проектів на "Капітальний ремонт  вул.  Богдана Хмельницького - гребля- пров. Ковальський (на ділянці від вул. М.Вороного до вул. Покровська в м. Новоукраїнка" та  "Капітальний ремонт   місцевої дороги загального користування О 121402 від с. Новоолександрівка до с.Звірівка"  </t>
    </r>
    <r>
      <rPr>
        <sz val="12"/>
        <rFont val="Times New Roman"/>
        <family val="1"/>
        <charset val="204"/>
      </rPr>
      <t>КЕКВ 3132</t>
    </r>
  </si>
  <si>
    <t>до рішення Новоукраїнської міської ради</t>
  </si>
  <si>
    <t>рішення №509 від 30.06.2021 року</t>
  </si>
  <si>
    <r>
      <t>Додаткові кошти в сумі 31700 грн.</t>
    </r>
    <r>
      <rPr>
        <b/>
        <sz val="12"/>
        <color indexed="8"/>
        <rFont val="Times New Roman"/>
        <family val="1"/>
        <charset val="204"/>
      </rPr>
      <t xml:space="preserve"> на придбання будівельних матеріалів,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</si>
  <si>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3000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</si>
  <si>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422 від 08.07.2021 року</t>
  </si>
  <si>
    <t>рішення № 588 від 13.07.2021 року</t>
  </si>
  <si>
    <r>
      <t>Додаткові кошти в сумі 50000 грн.</t>
    </r>
    <r>
      <rPr>
        <b/>
        <sz val="12"/>
        <color indexed="8"/>
        <rFont val="Times New Roman"/>
        <family val="1"/>
        <charset val="204"/>
      </rPr>
      <t xml:space="preserve"> для проведення поточного ремонту пандусів приміщень ФАП та ФП,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</si>
  <si>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в сумі 112376 грн.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 на умовах співфінансування з бюджету  Новоукраїнської  міської  територіальної громади в розмірі 10% відповідно  до постанови Кабінету Міністрів України від 21 квітня 2021 р.№ 403 Деякі питання надання субвенції з державного бюджету місцевим бюджетам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та розпорядження голови ОДА №523-р від 22 липня 2021 рокуКЕКВ 3220, за рахунок  перенесення фінансування з головного розпорядника коштів відділ освіти з КПКВ 0611010 КЕКВ 2230 на головного розпорядника коштів фінансове управління</t>
  </si>
  <si>
    <t>0611171</t>
  </si>
  <si>
    <t>02.08.2021 №22</t>
  </si>
  <si>
    <t>23.07.2021 №207</t>
  </si>
  <si>
    <r>
      <t xml:space="preserve">Перерозподіл бюджетних призначень в межах виділених річних асигнувань в сумі 99500 грн., перенесення фінансування на КПКВ 0611171 КЕКВ 3110, а саме зменшення фінансування  </t>
    </r>
    <r>
      <rPr>
        <b/>
        <sz val="12"/>
        <rFont val="Times New Roman"/>
        <family val="1"/>
        <charset val="204"/>
      </rPr>
      <t>на харчування дітей ,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</si>
  <si>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t>0611172</t>
  </si>
  <si>
    <t>22.07.2021     №01-14/453</t>
  </si>
  <si>
    <t>29.07.2021     №01-14/458</t>
  </si>
  <si>
    <t>22.07.2021        №01-14/453</t>
  </si>
  <si>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</si>
  <si>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</si>
  <si>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</si>
  <si>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</si>
  <si>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Субвенція з місцевого бюджету на реалізацію програми "Спроможна школа для кращих результатів" за рахунок відповідної субвенції з державного бюджету</t>
  </si>
  <si>
    <t>для проведення поточного ремонту пандусів приміщень ФАП та ФП</t>
  </si>
  <si>
    <r>
      <t xml:space="preserve">Перерозподіл бюджетних призначень в межах виділених річних асигнувань в сумі 45635 грн., перенесення фінансування на КПКВ 0611010 КЕКВ 2275, а саме зменшення фінансування  </t>
    </r>
    <r>
      <rPr>
        <b/>
        <sz val="12"/>
        <rFont val="Times New Roman"/>
        <family val="1"/>
        <charset val="204"/>
      </rPr>
      <t>на харчування дітей загальноосвітніх  навчальних закладів громади,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</si>
  <si>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60000 грн., перенесення фінансування на КПКВ 0611010 КЕКВ 2275,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</si>
  <si>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t xml:space="preserve">02.08.2021        №01-14/461 </t>
  </si>
  <si>
    <t>ДБ інсулін</t>
  </si>
  <si>
    <t>рн томограф</t>
  </si>
  <si>
    <t>30.07.2021        №216/01-20</t>
  </si>
  <si>
    <t>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0116030 КЕКВ 2240, а саме зменшення фінансування на КЕКВ 2730</t>
  </si>
  <si>
    <t xml:space="preserve">04.08.2021  б/н </t>
  </si>
  <si>
    <r>
      <t xml:space="preserve">Перерозподіл бюджетних призначень в межах виділених річних асигнувань в сумі 97363,42 грн., перенесення фінансування   на КПКВ 0118340 КЕКВ 2240,  а </t>
    </r>
    <r>
      <rPr>
        <b/>
        <sz val="12"/>
        <color theme="1"/>
        <rFont val="Times New Roman"/>
        <family val="1"/>
        <charset val="204"/>
      </rPr>
      <t>саме зменшення фінансування  з Придбання обладнання для збору побутових відходів (контейнерів (п.68),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t>
    </r>
    <r>
      <rPr>
        <sz val="12"/>
        <color theme="1"/>
        <rFont val="Times New Roman"/>
        <family val="1"/>
        <charset val="204"/>
      </rPr>
      <t xml:space="preserve"> за рахунок  фонду охорони навколишнього  природного середовища КЕКВ 2210</t>
    </r>
  </si>
  <si>
    <r>
      <t xml:space="preserve">Перерозподіл бюджетних призначень в межах виділених річних асигнувань в сумі 97363,42 грн., перенесення фінансування   з КПКВ 0118340 КЕКВ 2210,  а </t>
    </r>
    <r>
      <rPr>
        <b/>
        <sz val="12"/>
        <color theme="1"/>
        <rFont val="Times New Roman"/>
        <family val="1"/>
        <charset val="204"/>
      </rPr>
      <t xml:space="preserve">саме збільшення фінансування  на Рекультивація територій полігонів твердих побутових відходів (п.27-1),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 </t>
    </r>
    <r>
      <rPr>
        <sz val="12"/>
        <color theme="1"/>
        <rFont val="Times New Roman"/>
        <family val="1"/>
        <charset val="204"/>
      </rPr>
      <t xml:space="preserve"> за рахунок  фонду охорони навколишнього  природного середовища КЕКВ 2240</t>
    </r>
  </si>
  <si>
    <r>
      <t xml:space="preserve">Перерозподіл бюджетних призначень в межах виділених річних асигнувань в сумі 24500 грн., перенесення фінансування з  КЕКВ 2240, а саме зменшення фінансування </t>
    </r>
    <r>
      <rPr>
        <b/>
        <sz val="12"/>
        <color indexed="8"/>
        <rFont val="Times New Roman"/>
        <family val="1"/>
        <charset val="204"/>
      </rPr>
      <t xml:space="preserve">на  оздоровлення та відпочинок дітей, яке не відбулося внаслідок карантину </t>
    </r>
    <r>
      <rPr>
        <sz val="12"/>
        <color indexed="8"/>
        <rFont val="Times New Roman"/>
        <family val="1"/>
        <charset val="204"/>
      </rPr>
      <t>КЕКВ 2240, у зв'язку з економією коштів по спортивній школі</t>
    </r>
  </si>
  <si>
    <r>
      <t xml:space="preserve">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t>
    </r>
    <r>
      <rPr>
        <b/>
        <sz val="12"/>
        <color indexed="8"/>
        <rFont val="Times New Roman"/>
        <family val="1"/>
        <charset val="204"/>
      </rPr>
      <t>на оплату проїзду учасників змагань та послуг з покосу трави</t>
    </r>
    <r>
      <rPr>
        <sz val="12"/>
        <color indexed="8"/>
        <rFont val="Times New Roman"/>
        <family val="1"/>
        <charset val="204"/>
      </rPr>
      <t xml:space="preserve">  КЕКВ 2240 по спортивній школі</t>
    </r>
  </si>
  <si>
    <r>
      <t>Перерозподіл бюджетних призначень в межах виділених річних асигнувань в сумі 40624 грн., перенесення фінансування на КПКВ 4040 в сумі 33298 грн. КЕКВ 2111 та в сумі 7326 грн. КЕКВ 2120, а саме зменшення фінансування  для  виплати заробітної плати вакантної посади бібліографа  в сумі 33298 грн. КЕКВ 2111 та  на нарахування на заробітну плату  в сумі 7326 грн.  КЕКВ 2120,  в зв'язку із виведенням</t>
    </r>
    <r>
      <rPr>
        <b/>
        <sz val="12"/>
        <color indexed="8"/>
        <rFont val="Times New Roman"/>
        <family val="1"/>
        <charset val="204"/>
      </rPr>
      <t xml:space="preserve"> з штатного розпису МПК "Ювілейний" посади акомпоніатора</t>
    </r>
  </si>
  <si>
    <t>рішення 588 від 13.07.2021 року</t>
  </si>
  <si>
    <r>
      <t>Додаткові кошти в сумі 18300 грн.</t>
    </r>
    <r>
      <rPr>
        <b/>
        <sz val="12"/>
        <color indexed="8"/>
        <rFont val="Times New Roman"/>
        <family val="1"/>
        <charset val="204"/>
      </rPr>
      <t xml:space="preserve"> на  оплату праці з нарахуванням найманим працівникам,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</si>
  <si>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27750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t>
    </r>
    <r>
      <rPr>
        <b/>
        <sz val="12"/>
        <color indexed="8"/>
        <rFont val="Times New Roman"/>
        <family val="1"/>
        <charset val="204"/>
      </rPr>
      <t>для оплати послуг з консультування та розрахунку економічно- обґрунтованих витрат за послугу централізованого водовідведення</t>
    </r>
    <r>
      <rPr>
        <sz val="12"/>
        <color indexed="8"/>
        <rFont val="Times New Roman"/>
        <family val="1"/>
        <charset val="204"/>
      </rPr>
      <t xml:space="preserve"> КЕКВ 2610 </t>
    </r>
  </si>
  <si>
    <r>
      <t xml:space="preserve">Перерозподіл бюджетних призначень в межах виділених річних асигнувань в сумі 112376 грн., перенесення фінансування на КПКВ 3719770 КЕКВ 3220,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</si>
  <si>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200000 грн., перенесення фінансування з КПКВ 08120110 КЕКВ 2610, збільшення фінансування  </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</si>
  <si>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50000 грн., перенесення фінансування з КПКВ 08120110 КЕКВ 2610, збільшення фінансування   </t>
    </r>
    <r>
      <rPr>
        <b/>
        <sz val="12"/>
        <color indexed="8"/>
        <rFont val="Times New Roman"/>
        <family val="1"/>
        <charset val="204"/>
      </rPr>
      <t xml:space="preserve">для проведення поточного ремонту пандусів приміщень ФАП та ФП,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</si>
  <si>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400000 грн., перенесення фінансування на КПКВ 08120111 КЕКВ 2610, зменшення фінансування  </t>
    </r>
    <r>
      <rPr>
        <b/>
        <sz val="12"/>
        <color indexed="8"/>
        <rFont val="Times New Roman"/>
        <family val="1"/>
        <charset val="204"/>
      </rPr>
      <t>на оплату комунальних послуг та енергоносії, як співфінансування за рахунок субвенції з бюджету Рівнянської сільської територіальної громади з КНП "Новоукраїнська  міська лікарня"</t>
    </r>
    <r>
      <rPr>
        <sz val="12"/>
        <color indexed="8"/>
        <rFont val="Times New Roman"/>
        <family val="1"/>
        <charset val="204"/>
      </rPr>
      <t xml:space="preserve"> Новоукраїнської міської ради  на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</si>
  <si>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 Перерозподіл бюджетних призначень в межах виділених річних асигнувань в сумі  5700 грн., перенесення фінансування   на КПКВ 0813104 КЕКВ 2240,   а саме зменшення фінансування на оплату послуг крім комунальних  КЕКВ 2240</t>
  </si>
  <si>
    <t>Рішення міської ради № 22 від 01.12.2020 року</t>
  </si>
  <si>
    <t>Рішення міської ради № 78  від 26.01.2021 року</t>
  </si>
  <si>
    <t xml:space="preserve">27.08.2021        №01-14/491 </t>
  </si>
  <si>
    <t>0611154</t>
  </si>
  <si>
    <t xml:space="preserve">27.08.2021        №01-14/493 </t>
  </si>
  <si>
    <r>
      <t xml:space="preserve">Перерозподіл бюджетних призначень в межах виділених річних асигнувань в сумі 137580 грн., перенесення фінансування на КПКВ 0617321 КЕКВ 3132, а </t>
    </r>
    <r>
      <rPr>
        <b/>
        <sz val="12"/>
        <color indexed="8"/>
        <rFont val="Times New Roman"/>
        <family val="1"/>
        <charset val="204"/>
      </rPr>
      <t xml:space="preserve">саме зменшення фінансування  на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t>
    </r>
    <r>
      <rPr>
        <sz val="12"/>
        <color indexed="8"/>
        <rFont val="Times New Roman"/>
        <family val="1"/>
        <charset val="204"/>
      </rPr>
      <t xml:space="preserve">КЕКВ 3110 
</t>
    </r>
  </si>
  <si>
    <r>
      <t xml:space="preserve">Перерозподіл бюджетних призначень в межах виділених річних асигнувань в сумі 137580 грн., перенесення фінансування з КПКВ 0611021 КЕКВ 3110, а </t>
    </r>
    <r>
      <rPr>
        <b/>
        <sz val="12"/>
        <color indexed="8"/>
        <rFont val="Times New Roman"/>
        <family val="1"/>
        <charset val="204"/>
      </rPr>
      <t xml:space="preserve">саме збільшення фінансування  на реалізацію проекту "Капітальний ремонт  котельні (із заміною котла)  Новоукраїнського ліцею №4 за адресою: вул. Толстого, 7а  м.Новоукраїнка  Кіровоградської області" КЕКВ 3132 </t>
    </r>
    <r>
      <rPr>
        <sz val="12"/>
        <color indexed="8"/>
        <rFont val="Times New Roman"/>
        <family val="1"/>
        <charset val="204"/>
      </rPr>
      <t xml:space="preserve">
</t>
    </r>
  </si>
  <si>
    <t>Офіційний висновок</t>
  </si>
  <si>
    <t>грн.</t>
  </si>
  <si>
    <t>ККД</t>
  </si>
  <si>
    <t>Доходи</t>
  </si>
  <si>
    <t>Поч.річн. план</t>
  </si>
  <si>
    <t>Уточнений план на 2021 рік</t>
  </si>
  <si>
    <t xml:space="preserve"> Уточнений план на січень-серпень 2021 року</t>
  </si>
  <si>
    <t>Фактичні надходження за січень-серпень 2021 року</t>
  </si>
  <si>
    <t>+/-</t>
  </si>
  <si>
    <t>% викон.</t>
  </si>
  <si>
    <t>11010600</t>
  </si>
  <si>
    <t>Фіксований податок на доходи фізичних осіб від зайняття підприємницькою діяльністю, нарахований до 1 січня 2012 року</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</si>
  <si>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</si>
  <si>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</si>
  <si>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</si>
  <si>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</si>
  <si>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</si>
  <si>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 </t>
  </si>
  <si>
    <t>13010200</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</si>
  <si>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</si>
  <si>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</si>
  <si>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</si>
  <si>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</si>
  <si>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Акцизний податок з вироблених в Україні підакцизних товарів (продукції) </t>
  </si>
  <si>
    <t>Акцизний податок з реалізації суб`єктами господарювання роздрібної торгівлі підакцизних товарів </t>
  </si>
  <si>
    <t>Місцеві податки та збори, що сплачуються (перераховуються) згідно з Податковим кодексом України</t>
  </si>
  <si>
    <t>Податок на майно </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</si>
  <si>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</si>
  <si>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</si>
  <si>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</si>
  <si>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</si>
  <si>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</si>
  <si>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</si>
  <si>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</si>
  <si>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</si>
  <si>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 </t>
  </si>
  <si>
    <t>Транспортний податок з юридичних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</si>
  <si>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</si>
  <si>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</si>
  <si>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</si>
  <si>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</si>
  <si>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22090400</t>
  </si>
  <si>
    <t>Державне мито, пов`язане з видачею та оформленням закордонних паспортів (посвідок) та паспортів громадян України  </t>
  </si>
  <si>
    <t>24000000</t>
  </si>
  <si>
    <t>Інші неподаткові надходження  </t>
  </si>
  <si>
    <t>24060000</t>
  </si>
  <si>
    <t>24060300</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</si>
  <si>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</si>
  <si>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</si>
  <si>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 xml:space="preserve">Усього ( без урахування трансфертів) </t>
  </si>
  <si>
    <t>Колпак А.П.</t>
  </si>
  <si>
    <r>
      <t xml:space="preserve">Перерозподіл бюджетних призначень в межах виділених річних асигнувань  сумі 102980 грн., збільшення фінансування </t>
    </r>
    <r>
      <rPr>
        <b/>
        <sz val="12"/>
        <color indexed="8"/>
        <rFont val="Times New Roman"/>
        <family val="1"/>
        <charset val="204"/>
      </rPr>
      <t xml:space="preserve"> на придбання предметів, матеріалів та послуг по введенню в дію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</si>
  <si>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t>рішення 122 від 26.08.2021 року</t>
  </si>
  <si>
    <t>31.08.2021 №117/01-26</t>
  </si>
  <si>
    <t>28.08.2021 №1106</t>
  </si>
  <si>
    <r>
      <t xml:space="preserve">Перерозподіл бюджетних призначень в межах річних асигнувань  в сумі 40500 грн., виділених рішенням міської ради від 10.08.2021 року  № 397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color indexed="8"/>
        <rFont val="Times New Roman"/>
        <family val="1"/>
        <charset val="204"/>
      </rPr>
      <t>зменшення фінансування на придбання предметів, матеріалів та послуг по введенню в дію комп"ютерного томографа</t>
    </r>
    <r>
      <rPr>
        <sz val="12"/>
        <color indexed="8"/>
        <rFont val="Times New Roman"/>
        <family val="1"/>
        <charset val="204"/>
      </rPr>
      <t xml:space="preserve">   КЕКВ 2610</t>
    </r>
  </si>
  <si>
    <r>
      <t xml:space="preserve">Перерозподіл бюджетних призначень в межах річних асигнувань  в сумі 40500 грн., виділених рішенням міської ради від 10.08.2021 року  № 397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rFont val="Times New Roman"/>
        <family val="1"/>
        <charset val="204"/>
      </rPr>
      <t>збільшення фінансування на придбання обладнання та матеріалів для підготовки котельні до опалювального сезону</t>
    </r>
    <r>
      <rPr>
        <sz val="12"/>
        <rFont val="Times New Roman"/>
        <family val="1"/>
        <charset val="204"/>
      </rPr>
      <t>, як одержувачу коштів управління соціального захисту та охорони здоров'я  Новоукраїнської міської ради КЕКВ 2610</t>
    </r>
  </si>
  <si>
    <t>31.08.2021 б/н</t>
  </si>
  <si>
    <t>06.09.2020 б/н</t>
  </si>
  <si>
    <r>
      <t xml:space="preserve">Перерозподіл бюджетних призначень в межах виділених річних асигнувань в сумі 12000 грн., перенесення фінансування з КПКВ 08120111 КЕКВ 2610, збільшення фінансування  </t>
    </r>
    <r>
      <rPr>
        <b/>
        <sz val="12"/>
        <color indexed="8"/>
        <rFont val="Times New Roman"/>
        <family val="1"/>
        <charset val="204"/>
      </rPr>
      <t>на придбання медикаментів (забезпечення безкоштовним пільговим відпуском медикаментів) в сумі 9000 грн., забезпечення безкоштовним дитячим харчуванням дітей грудного віку та другого року життя, які входять до малозабезпечених сімей, в сумі 3000 грн.КНП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</si>
  <si>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20.08.2021 б/н</t>
  </si>
  <si>
    <t>сторінка нов.новин</t>
  </si>
  <si>
    <t>06.09.2021 №285/01-69</t>
  </si>
  <si>
    <r>
      <t xml:space="preserve">Додаткові кошти  в сумі 50000 грн. </t>
    </r>
    <r>
      <rPr>
        <b/>
        <sz val="12"/>
        <color indexed="8"/>
        <rFont val="Times New Roman"/>
        <family val="1"/>
        <charset val="204"/>
      </rPr>
      <t>для оплати за відшкодування вугілля використаного на опалення приміщення міської ради</t>
    </r>
    <r>
      <rPr>
        <sz val="12"/>
        <color indexed="8"/>
        <rFont val="Times New Roman"/>
        <family val="1"/>
        <charset val="204"/>
      </rPr>
      <t xml:space="preserve"> КЕКВ 2275,  за рахунок перевиконання дохідної частини загального фонду бюджету Новоукраїнської міської територіальної громади станом на 01.09.2021 року</t>
    </r>
  </si>
  <si>
    <r>
      <t xml:space="preserve">Додаткові кошти  в сумі 30000 грн.  </t>
    </r>
    <r>
      <rPr>
        <b/>
        <sz val="12"/>
        <rFont val="Times New Roman"/>
        <family val="1"/>
        <charset val="204"/>
      </rPr>
      <t xml:space="preserve">для проведення заходів з нагородження громадян Новоукраїнської  міської територіальної  громади </t>
    </r>
    <r>
      <rPr>
        <sz val="12"/>
        <rFont val="Times New Roman"/>
        <family val="1"/>
        <charset val="204"/>
      </rPr>
      <t xml:space="preserve">КЕКВ 2730,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</si>
  <si>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Перерозподіл бюджетних призначень в межах виділених річних асигнувань в сумі  960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t>
    </r>
    <r>
      <rPr>
        <b/>
        <sz val="12"/>
        <color indexed="8"/>
        <rFont val="Times New Roman"/>
        <family val="1"/>
        <charset val="204"/>
      </rPr>
      <t xml:space="preserve"> на  </t>
    </r>
    <r>
      <rPr>
        <sz val="12"/>
        <color indexed="8"/>
        <rFont val="Times New Roman"/>
        <family val="1"/>
        <charset val="204"/>
      </rPr>
      <t xml:space="preserve">КПКВ 0116030 КЕКВ 2240, а саме зменшення фінансування  </t>
    </r>
    <r>
      <rPr>
        <b/>
        <sz val="12"/>
        <color indexed="8"/>
        <rFont val="Times New Roman"/>
        <family val="1"/>
        <charset val="204"/>
      </rPr>
      <t>на оздоровлення та відпочинок дітей</t>
    </r>
    <r>
      <rPr>
        <sz val="12"/>
        <color indexed="8"/>
        <rFont val="Times New Roman"/>
        <family val="1"/>
        <charset val="204"/>
      </rPr>
      <t xml:space="preserve"> КЕКВ 2730, в зв'язку із економією коштів</t>
    </r>
  </si>
  <si>
    <t>03.09.2021        №1929</t>
  </si>
  <si>
    <t>20.08.2021 №162/04-53</t>
  </si>
  <si>
    <t>06.09.2021 №5406/113-7071</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</si>
  <si>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</si>
  <si>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</si>
  <si>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r>
      <t>Додаткові кошти в сумі  5700 грн.</t>
    </r>
    <r>
      <rPr>
        <b/>
        <sz val="12"/>
        <rFont val="Times New Roman"/>
        <family val="1"/>
        <charset val="204"/>
      </rPr>
      <t xml:space="preserve"> на оплату послуг електротехнічної лабораторії приміщення КУ "Центр соціальних послуг" </t>
    </r>
    <r>
      <rPr>
        <sz val="12"/>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таном на 01.09.2021 року</t>
    </r>
  </si>
  <si>
    <t xml:space="preserve">від  07 вересня 2021 року № 443       </t>
  </si>
  <si>
    <t>06.09.2021 №1156</t>
  </si>
  <si>
    <r>
      <t xml:space="preserve">Перерозподіл бюджетних призначень в межах річних асигнувань  в сумі 309500 грн., виділених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а саме </t>
    </r>
    <r>
      <rPr>
        <b/>
        <sz val="12"/>
        <color indexed="8"/>
        <rFont val="Times New Roman"/>
        <family val="1"/>
        <charset val="204"/>
      </rPr>
      <t>зменшення фінансування на придбання предметів, матеріалів та послуг по введенню в дію комп"ютерного томографа</t>
    </r>
    <r>
      <rPr>
        <sz val="12"/>
        <color indexed="8"/>
        <rFont val="Times New Roman"/>
        <family val="1"/>
        <charset val="204"/>
      </rPr>
      <t xml:space="preserve">  в сумі 62480 грн. та на утримання пологового відділення (оплата праці з нарахуванням) в сумі  247020 грн. КЕКВ 2610</t>
    </r>
  </si>
  <si>
    <r>
      <t xml:space="preserve">Перерозподіл бюджетних призначень в межах річних асигнувань  в сумі 309500 грн., виділених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rFont val="Times New Roman"/>
        <family val="1"/>
        <charset val="204"/>
      </rPr>
      <t>збільшення фінансування на придбання медикаментів</t>
    </r>
    <r>
      <rPr>
        <sz val="12"/>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</si>
  <si>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960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0813140 КЕКВ 2240,  а саме </t>
    </r>
    <r>
      <rPr>
        <b/>
        <sz val="12"/>
        <color theme="1"/>
        <rFont val="Times New Roman"/>
        <family val="1"/>
        <charset val="204"/>
      </rPr>
      <t xml:space="preserve">збільшення фінансування  на оплату послуг з прибирання снігу </t>
    </r>
    <r>
      <rPr>
        <sz val="12"/>
        <color theme="1"/>
        <rFont val="Times New Roman"/>
        <family val="1"/>
        <charset val="204"/>
      </rPr>
      <t xml:space="preserve"> на території громади КЕКВ 2240</t>
    </r>
  </si>
  <si>
    <t>03.09.2021        №251/01-20</t>
  </si>
  <si>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rFont val="Times New Roman"/>
        <family val="1"/>
        <charset val="204"/>
      </rPr>
      <t xml:space="preserve">поточного ремонту  димової труби в Новоукраїнській загальноосвітній школі І-ІІІ ступенів №4 </t>
    </r>
    <r>
      <rPr>
        <sz val="12"/>
        <rFont val="Times New Roman"/>
        <family val="1"/>
        <charset val="204"/>
      </rPr>
      <t>КЕКВ 2240</t>
    </r>
  </si>
  <si>
    <r>
      <t xml:space="preserve">Перерозподіл бюджетних призначень в межах виділених річних асигнувань в сумі 64745 грн., перенесення фінансування з КПКВ 0611021 КЕКВ 2230, а саме збільшення фінансування  </t>
    </r>
    <r>
      <rPr>
        <b/>
        <sz val="12"/>
        <rFont val="Times New Roman"/>
        <family val="1"/>
        <charset val="204"/>
      </rPr>
      <t xml:space="preserve">на оплату  поточного ремонту покрівель філії Загальноосвітньої школи №3 Новоукраїнської загальноосвітньої школи І-ІІІ ступенів №6 та   Новоукраїнського навчально-виховного комплексу "Загальноосвітня школа І ступеня  з поглибленим вивченням англійської мови- гімназія "Лідер" </t>
    </r>
    <r>
      <rPr>
        <sz val="12"/>
        <rFont val="Times New Roman"/>
        <family val="1"/>
        <charset val="204"/>
      </rPr>
      <t xml:space="preserve">КЕКВ 2240,  </t>
    </r>
    <r>
      <rPr>
        <b/>
        <sz val="12"/>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</si>
  <si>
    <r>
      <t xml:space="preserve">Перерозподіл бюджетних призначень в межах виділених річних асигнувань в сумі 67593 грн., перенесення фінансування з КПКВ 0611070 КЕКВ 2240, а саме збільшення фінансування   в сумі 61455 грн. на оплату  поточного ремонту покрівель філії Загальноосвітньої школи №3 Новоукраїнської загальноосвітньої школи І-ІІІ ступенів №6, </t>
    </r>
    <r>
      <rPr>
        <b/>
        <sz val="12"/>
        <rFont val="Times New Roman"/>
        <family val="1"/>
        <charset val="204"/>
      </rPr>
      <t>для встановлення снігозатримувачів для покрівлі та облаштування системою блискавозахисту будівлі Фурманівського закладу початкової та базової середньої освіти  та для виготовлення енергопаспорту Новоукраїнської загальноосвітньої школи І-ІІІ ступенів №4 КЕКВ 2240,   в сумі 6138 грн. на придбання  будівельних матеріалів для поточних ремонтів</t>
    </r>
    <r>
      <rPr>
        <sz val="12"/>
        <rFont val="Times New Roman"/>
        <family val="1"/>
        <charset val="204"/>
      </rPr>
      <t xml:space="preserve">, </t>
    </r>
    <r>
      <rPr>
        <b/>
        <sz val="12"/>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2210</t>
    </r>
  </si>
  <si>
    <r>
      <t xml:space="preserve">Перерозподіл бюджетних призначень в межах виділених річних асигнувань в сумі 67593  грн., перенесення фінансування на КПКВ 0611021 КЕКВ 2210, зменшення фінансування по КЕКВ2240, в </t>
    </r>
    <r>
      <rPr>
        <b/>
        <sz val="12"/>
        <rFont val="Times New Roman"/>
        <family val="1"/>
        <charset val="204"/>
      </rPr>
      <t xml:space="preserve">зв'язку з економією коштів на проведення оздоровлення дітей у літньому таборі на базі центру дитячої та юнацької творчості "Зоріт"  </t>
    </r>
  </si>
  <si>
    <t xml:space="preserve">Програму місцевих стимулів для медичних працівників Новоукраїнської міської територіальної громади на 2021-2024 роки </t>
  </si>
  <si>
    <t>Рішення міської ради № 390  від 10.08.2021 року</t>
  </si>
  <si>
    <t>Капітальний ремонт  котельні (із заміною котла)  Новоукраїнського ліцею №4 за адресою: вул. Толстого, 7а  м.Новоукраїнка  Кіровоградської області</t>
  </si>
  <si>
    <t>2021</t>
  </si>
  <si>
    <t>Капітальний ремонт  покриття внутрішнього двору  Новоукраїнського ліцею №8 за адресою: вул. Павлівська, 14  м.Новоукраїнка  Кіровоградської області</t>
  </si>
  <si>
    <t>на придбання предметів, матеріалів та послуг по введенню в дію комп"ютерного томографа</t>
  </si>
  <si>
    <r>
      <t xml:space="preserve">Перерозподіл бюджетних призначень в межах виділених річних асигнувань  сумі 24636 грн., збільшення фінансування </t>
    </r>
    <r>
      <rPr>
        <b/>
        <sz val="12"/>
        <color indexed="8"/>
        <rFont val="Times New Roman"/>
        <family val="1"/>
        <charset val="204"/>
      </rPr>
      <t xml:space="preserve"> на виплату стипендій  студентам медичних закладів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</si>
  <si>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r>
      <t xml:space="preserve">Перерозподіл бюджетних призначень в межах виділених річних асигнувань  сумі 24636 грн., збільшення фінансування </t>
    </r>
    <r>
      <rPr>
        <b/>
        <sz val="12"/>
        <color indexed="8"/>
        <rFont val="Times New Roman"/>
        <family val="1"/>
        <charset val="204"/>
      </rPr>
      <t xml:space="preserve"> нна виплату стипендій  студентам медичних закладів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</si>
  <si>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t>на виплату стипендій  студентам медичних закладів</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</si>
  <si>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паливно - мастильних матеріалів</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</si>
  <si>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придбання форменого одягу особовому складу 4 державного пожежно-рятувального загону  УДСНС України у Кіровоградській області </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</si>
  <si>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придбання офісної комп’ютерної техніки, засобів зв’язку, портативних нагрудних відео реєстраторів та іншого обладнання, оргтехніки та встановлення, оновлення існуючої системи відеоспостереження для територіального управління Служби судової охорони у Кіровоградській області  </t>
  </si>
  <si>
    <t>Додаток 9</t>
  </si>
  <si>
    <r>
      <t xml:space="preserve">Перерозподіл бюджетних призначень в межах виділених річних асигнувань в сумі 12000 грн., перенесення фінансування на КПКВ 08120111 КЕКВ 2610, зменшення фінансування  </t>
    </r>
    <r>
      <rPr>
        <b/>
        <sz val="12"/>
        <color indexed="8"/>
        <rFont val="Times New Roman"/>
        <family val="1"/>
        <charset val="204"/>
      </rPr>
      <t>придбання медикаментів (туберкуліну та вакцини проти грипу) в сумі 9541,65 грн., поліпшення матеріально-технічної бази та оснащення в сумі 2458,35 грн. КНП "Центр первинної медико-санітарної допомоги"</t>
    </r>
    <r>
      <rPr>
        <sz val="12"/>
        <color indexed="8"/>
        <rFont val="Times New Roman"/>
        <family val="1"/>
        <charset val="204"/>
      </rPr>
      <t>,  у зв'язку з економією коштів, як одержувачу коштів управління соціального захисту та охорони здоров'я  Новоукраїнської міської ради,  КЕКВ 2610</t>
    </r>
  </si>
  <si>
    <r>
      <t xml:space="preserve">Додаткові кошти  в сумі 19910 грн. </t>
    </r>
    <r>
      <rPr>
        <b/>
        <sz val="12"/>
        <rFont val="Times New Roman"/>
        <family val="1"/>
        <charset val="204"/>
      </rPr>
      <t>для закупівлі послуги з організації інших видів вілпочинку та розваг ( вогняне шоу) для відзначення дня міста</t>
    </r>
    <r>
      <rPr>
        <sz val="12"/>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</si>
  <si>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в сумі 50000 грн. на виплату заробітної плати  в сумі 40984 грн. КЕКВ 2111, нарахування на заробітну плату в сумі 9016 грн. КЕКВ 2120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 xml:space="preserve">Новоукраїнської міської територіальної громади,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</si>
  <si>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за в сумі 49000 грн., </t>
    </r>
    <r>
      <rPr>
        <b/>
        <sz val="12"/>
        <color indexed="8"/>
        <rFont val="Times New Roman"/>
        <family val="1"/>
        <charset val="204"/>
      </rPr>
      <t>на оплату послуг з вивезення сміття на території громади</t>
    </r>
    <r>
      <rPr>
        <sz val="12"/>
        <color indexed="8"/>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</si>
  <si>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в сумі 49000 грн.,  на </t>
    </r>
    <r>
      <rPr>
        <b/>
        <sz val="12"/>
        <color indexed="8"/>
        <rFont val="Times New Roman"/>
        <family val="1"/>
        <charset val="204"/>
      </rPr>
      <t xml:space="preserve">оплату послуг з прибирання льоду на території громади </t>
    </r>
    <r>
      <rPr>
        <sz val="12"/>
        <color indexed="8"/>
        <rFont val="Times New Roman"/>
        <family val="1"/>
        <charset val="204"/>
      </rPr>
      <t xml:space="preserve">КЕКВ 2240,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</si>
  <si>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в сумі 49000 грн.,  на </t>
    </r>
    <r>
      <rPr>
        <b/>
        <sz val="12"/>
        <color indexed="8"/>
        <rFont val="Times New Roman"/>
        <family val="1"/>
        <charset val="204"/>
      </rPr>
      <t xml:space="preserve">оплату послуг з ремонту відвалів для снігоприбиральної техніки </t>
    </r>
    <r>
      <rPr>
        <sz val="12"/>
        <color indexed="8"/>
        <rFont val="Times New Roman"/>
        <family val="1"/>
        <charset val="204"/>
      </rPr>
      <t xml:space="preserve">КЕКВ 2240, за рахунок перевиконання дохідної частини загального фонду бюджету Новоукраїнської міської територіальної громади станом на 01.09.2021 року </t>
    </r>
  </si>
  <si>
    <t xml:space="preserve">Додаткові кошти  в сумі 287920 грн. на виплату заробітної плати  в сумі 40300 грн. КЕКВ 2111, нарахування на заробітну плату в сумі 8866 грн. КЕКВ 2120, на оплату послуг за встановлення охороної сигналізації та облаштування котельні в сумі 63863 грн. КЕКВ 2240, на оплату водопостачання в сумі 1000 грн. КЕКВ 2272, на оплату електроенергії в сумі 12000 грн.  КЕКВ 2273, на придбання вугілля та дров, вивіз твердих побутових відходів  в сумі 160291 грн. КЕКВ 2275 та на навчання кочегарів в сумі 1600 грн.  КЕКВ 2282 Новоукраїнської міської об'єднаної територіальної громади, за рахунок перевиконання дохідної частини загального фонду бюджету Новоукраїнської міської територіальної громади станом на 01.09.2021 року </t>
  </si>
  <si>
    <t xml:space="preserve">Субвенція з місцевого бюджету державному бюджету на виконання програм соціально-економічного розвитку регіоні  в сумі 30000 грн. на придбання офісної комп’ютерної техніки, засобів зв’язку, портативних нагрудних відео реєстраторів та іншого обладнання, оргтехніки та встановлення, оновлення існуючої системи відеоспостереження для територіального управління Служби судової охорони у Кіровоградській області  КЕКВ 2620, за рахунок перевиконання дохідної частини загального фонду бюджету Новоукраїнської міської територіальної громади станом на 01.09.2021 року </t>
  </si>
  <si>
    <t xml:space="preserve">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в сумі 10000 грн. на придбання паливно - мастильних матеріалів,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КЕКВ 2620, за рахунок перевиконання дохідної частини загального фонду бюджету Новоукраїнської міської територіальної громади станом на 01.09.2021 року </t>
  </si>
  <si>
    <t xml:space="preserve">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для придбання форменого одягу особовому складу 4 державного пожежно-рятувального загону в сумі 10000 грн.,  як установі, що фінансується з державного бюджету КЕКВ 2620, за рахунок перевиконання дохідної частини загального фонду бюджету Новоукраїнської міської територіальної громади станом на 01.09.2021 року </t>
  </si>
  <si>
    <r>
      <t xml:space="preserve">Додаткові кошти   в сумі 250000 грн. на </t>
    </r>
    <r>
      <rPr>
        <b/>
        <sz val="12"/>
        <rFont val="Times New Roman"/>
        <family val="1"/>
        <charset val="204"/>
      </rPr>
      <t xml:space="preserve">реалізацію проекту "Капітальний ремонт  котельні (із заміною котла)  Новоукраїнського ліцею №4 </t>
    </r>
    <r>
      <rPr>
        <sz val="12"/>
        <rFont val="Times New Roman"/>
        <family val="1"/>
        <charset val="204"/>
      </rPr>
      <t xml:space="preserve">за адресою: вул. Толстого, 7а  м.Новоукраїнка  Кіровоградської області" КЕКВ 3132,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</si>
  <si>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в сумі 197081 грн., за рахунок перевиконання на </t>
    </r>
    <r>
      <rPr>
        <b/>
        <sz val="12"/>
        <rFont val="Times New Roman"/>
        <family val="1"/>
        <charset val="204"/>
      </rPr>
      <t xml:space="preserve">реалізацію проекту "Капітальний ремонт  покриття внутрішнього двору  Новоукраїнського ліцею №8 </t>
    </r>
    <r>
      <rPr>
        <sz val="12"/>
        <rFont val="Times New Roman"/>
        <family val="1"/>
        <charset val="204"/>
      </rPr>
      <t xml:space="preserve">за адресою: вул. Павлівська, 14  м.Новоукраїнка  Кіровоградської області" КЕКВ 3132, за рахунок перевиконання дохідної частини загального фонду бюджету Новоукраїнської міської територіальної громади станом на 01.09.2021 року  </t>
    </r>
  </si>
  <si>
    <t>про перевиконання дохідної частини загального фонду бюджету Новоукраїнської міської територіальної громади                                                                                      станом на  01.09.2021 року</t>
  </si>
  <si>
    <t xml:space="preserve">Начальник фінансового управління 
Новоукраїнської міської ради
</t>
  </si>
  <si>
    <r>
      <t xml:space="preserve">Додаткові кошти  у сумі 94100 грн.,  за рахунок залишку коштів освітньої субвенції станом на 01.01.2021 року по інклюзивно - ресурсному центру,  а саме  на </t>
    </r>
    <r>
      <rPr>
        <b/>
        <sz val="12"/>
        <rFont val="Times New Roman"/>
        <family val="1"/>
        <charset val="204"/>
      </rPr>
      <t>виплату заробітної плати</t>
    </r>
    <r>
      <rPr>
        <sz val="12"/>
        <rFont val="Times New Roman"/>
        <family val="1"/>
        <charset val="204"/>
      </rPr>
      <t xml:space="preserve">  в сумі 64000 грн. КЕКВ 2111 та </t>
    </r>
    <r>
      <rPr>
        <b/>
        <sz val="12"/>
        <rFont val="Times New Roman"/>
        <family val="1"/>
        <charset val="204"/>
      </rPr>
      <t>нарахування на заробітну плату</t>
    </r>
    <r>
      <rPr>
        <sz val="12"/>
        <rFont val="Times New Roman"/>
        <family val="1"/>
        <charset val="204"/>
      </rPr>
      <t xml:space="preserve"> в сумі 24600 грн. КЕКВ 2120 та </t>
    </r>
    <r>
      <rPr>
        <b/>
        <sz val="12"/>
        <rFont val="Times New Roman"/>
        <family val="1"/>
        <charset val="204"/>
      </rPr>
      <t>придбання обладнання для оснащення матеріально - технічної бази інклюзивно - ресурсного центру</t>
    </r>
    <r>
      <rPr>
        <sz val="12"/>
        <rFont val="Times New Roman"/>
        <family val="1"/>
        <charset val="204"/>
      </rPr>
      <t xml:space="preserve">  в сумі 5500 грн. КЕКВ 2210, використання коштів проводити після погодження використання залишку коштів освітньої субвенції Кіровоградською обласною державною адміністрацією</t>
    </r>
  </si>
  <si>
    <r>
      <t xml:space="preserve">Додаткові кошти  у сумі 267752,14 грн.,  за рахунок залишку коштів освітньої субвенції станом на 01.01.2021 року по інклюзивно - ресурсному центру,  а саме  </t>
    </r>
    <r>
      <rPr>
        <b/>
        <sz val="12"/>
        <rFont val="Times New Roman"/>
        <family val="1"/>
        <charset val="204"/>
      </rPr>
      <t>на придбання обладнання для їдальні (харчоблоку) Новоукраїнського ліцею №4</t>
    </r>
    <r>
      <rPr>
        <sz val="12"/>
        <rFont val="Times New Roman"/>
        <family val="1"/>
        <charset val="204"/>
      </rPr>
      <t xml:space="preserve">  КЕКВ 2210 , використання коштів проводити після погодження використання залишку коштів освітньої субвенції Кіровоградською обласною державною адміністрацією</t>
    </r>
  </si>
  <si>
    <t xml:space="preserve">Додаткові кошти  у сумі 44500 грн.,  за рахунок залишку коштів освітньої субвенції станом на 01.01.2021 року по інклюзивно - ресурсному центру,  а саме  на придбання обладнання для оснащення матеріально - технічної бази інклюзивно - ресурсного центру  КЕКВ 3110, використання коштів проводити після погодження використання залишку коштів освітньої субвенції Кіровоградською обласною державною адміністрацією </t>
  </si>
  <si>
    <t>Програма Призовник на 2021-2023 роки</t>
  </si>
  <si>
    <t>Програма "Сім’я та молодь" Новоукраїнської міської об’єднаної територіальної громади на 2018-2027 роки</t>
  </si>
  <si>
    <t>Субвенція з державного бюджету місцевим бюджетам на реалізацію програми "Спроможна школа для кращих результатів"</t>
  </si>
  <si>
    <t>разом 2</t>
  </si>
  <si>
    <t>разом 1</t>
  </si>
  <si>
    <t>всього 1+2</t>
  </si>
  <si>
    <t>наші 2</t>
  </si>
  <si>
    <t>субвенція 2</t>
  </si>
  <si>
    <t>наші 1</t>
  </si>
  <si>
    <t>наші 1+2</t>
  </si>
  <si>
    <t>субвенція 1+2</t>
  </si>
  <si>
    <t xml:space="preserve">15.09.2021        №01-14/533 </t>
  </si>
  <si>
    <t xml:space="preserve">14.09.2021        №01-14/527 </t>
  </si>
  <si>
    <r>
      <t xml:space="preserve">Додаткові кошти  в сумі 895500 грн., а саме відповідно  до постанови Кабінету Міністрів України від 01 вересня 2021 р. N 1047 - р за </t>
    </r>
    <r>
      <rPr>
        <b/>
        <sz val="12"/>
        <rFont val="Times New Roman"/>
        <family val="1"/>
        <charset val="204"/>
      </rPr>
      <t xml:space="preserve">рахунок субвенції з державного бюджету на реалізацію програми "Спроможна школа для кращих результатів"  на закупівлю лінгафонного кабінету для Новоукраїнського ліцею № 6 Новоукраїнської міської ради Кіровоградської області в сумі 447300 грн. та сучасної СТЕМ - лабораторії для Новоукраїнського ліцею № 8 Новоукраїнської міської ради Кіровоградської області в сумі 448200 грн. КЕКВ 3110 </t>
    </r>
  </si>
  <si>
    <r>
      <t xml:space="preserve">Перерозподіл бюджетних призначень в межах виділених річних асигнувань в сумі 22602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t>
    </r>
    <r>
      <rPr>
        <b/>
        <sz val="12"/>
        <color indexed="8"/>
        <rFont val="Times New Roman"/>
        <family val="1"/>
        <charset val="204"/>
      </rPr>
      <t>на оплату поточного ремонту димової труби  у Новоукраїнському комунальному закладі дошкільної освіти</t>
    </r>
    <r>
      <rPr>
        <sz val="12"/>
        <color indexed="8"/>
        <rFont val="Times New Roman"/>
        <family val="1"/>
        <charset val="204"/>
      </rPr>
      <t xml:space="preserve"> "Берізка" КЕКВ 2240 </t>
    </r>
  </si>
  <si>
    <r>
      <t xml:space="preserve">Перерозподіл бюджетних призначень в межах виділених річних асигнувань в сумі 60000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 xml:space="preserve">електроенергії,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</si>
  <si>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27750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КП "Водокомунгосп",</t>
    </r>
    <r>
      <rPr>
        <sz val="12"/>
        <color indexed="8"/>
        <rFont val="Times New Roman"/>
        <family val="1"/>
        <charset val="204"/>
      </rPr>
      <t xml:space="preserve"> </t>
    </r>
    <r>
      <rPr>
        <b/>
        <sz val="12"/>
        <color indexed="8"/>
        <rFont val="Times New Roman"/>
        <family val="1"/>
        <charset val="204"/>
      </rPr>
      <t>для оплати послуг з розрахунку економічно- обґрунтованих витрат за послугу централізованого водопостачання</t>
    </r>
    <r>
      <rPr>
        <sz val="12"/>
        <color indexed="8"/>
        <rFont val="Times New Roman"/>
        <family val="1"/>
        <charset val="204"/>
      </rPr>
      <t xml:space="preserve"> КЕКВ 2610 </t>
    </r>
  </si>
  <si>
    <t>20.09.2021        №118</t>
  </si>
  <si>
    <t>20.09.2021        №117</t>
  </si>
  <si>
    <t>20.09.2021 б/н</t>
  </si>
  <si>
    <r>
      <t>Перерозподіл бюджетних призначень в межах виділених річних асигнувань в сумі 30000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на придбання запасних частин та матеріалів в сумі 24000 грн. КЕКВ 2210 та на оплату послуг з</t>
    </r>
    <r>
      <rPr>
        <b/>
        <sz val="12"/>
        <rFont val="Times New Roman"/>
        <family val="1"/>
        <charset val="204"/>
      </rPr>
      <t xml:space="preserve"> ремонту  </t>
    </r>
    <r>
      <rPr>
        <sz val="12"/>
        <rFont val="Times New Roman"/>
        <family val="1"/>
        <charset val="204"/>
      </rPr>
      <t xml:space="preserve"> автотранспортних засобів по МНВК  в сумі 6000 грн. КЕКВ 2240 </t>
    </r>
  </si>
  <si>
    <t xml:space="preserve">15.09.2021        №01-14/532 </t>
  </si>
  <si>
    <r>
      <t xml:space="preserve">Додаткові кошти в сумі 50000 грн. на </t>
    </r>
    <r>
      <rPr>
        <b/>
        <sz val="12"/>
        <color indexed="8"/>
        <rFont val="Times New Roman"/>
        <family val="1"/>
        <charset val="204"/>
      </rPr>
      <t xml:space="preserve"> оплату праці з нарахуванням завідувачів та молодшого медичного персоналу ФАПів, що обслуговують сільське населення </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</si>
  <si>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23.09.2021 №255</t>
  </si>
  <si>
    <r>
      <t xml:space="preserve">Перерозподіл бюджетних призначень в межах виділених річних асигнувань в сумі 169000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для </t>
    </r>
    <r>
      <rPr>
        <b/>
        <sz val="12"/>
        <color indexed="8"/>
        <rFont val="Times New Roman"/>
        <family val="1"/>
        <charset val="204"/>
      </rPr>
      <t xml:space="preserve">оплати електроенергії в сумі 35000 грн., для оплати обов'язкових платежів та податків в сумі 134000 грн., </t>
    </r>
    <r>
      <rPr>
        <sz val="12"/>
        <color indexed="8"/>
        <rFont val="Times New Roman"/>
        <family val="1"/>
        <charset val="204"/>
      </rPr>
      <t>як фінансову підтримку одержувачу коштів бюджету  Новоукраїнської  міської територіальної громади КЕКВ 2610</t>
    </r>
  </si>
  <si>
    <t xml:space="preserve">Перерозподіл бюджетних призначень в межах виділених річних асигнувань в сумі 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для виготовлення документації по експертній оцінці майна приміщень  Новоукраїнського ліцею № 6 Новоукраїнської міської ради Кіровоградської області  по закладах середньої освіти громади  КЕКВ 2240 </t>
  </si>
  <si>
    <r>
      <t xml:space="preserve">Перерозподіл бюджетних призначень в межах виділених річних асигнувань в сумі  196000 грн., перенесення фінансування  на КПКВ 1017461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</si>
  <si>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Перерозподіл бюджетних призначень в межах виділених річних асигнувань в сумі  196000 грн.,  перенесення фінансування  з КПКВ 0117461 КЕКВ 2240,</t>
    </r>
    <r>
      <rPr>
        <sz val="12"/>
        <rFont val="Times New Roman"/>
        <family val="1"/>
        <charset val="204"/>
      </rPr>
      <t xml:space="preserve"> а саме </t>
    </r>
    <r>
      <rPr>
        <b/>
        <sz val="12"/>
        <color indexed="8"/>
        <rFont val="Times New Roman"/>
        <family val="1"/>
        <charset val="204"/>
      </rPr>
      <t>збільшення фінансування на  поточний ремонт доріг</t>
    </r>
    <r>
      <rPr>
        <sz val="12"/>
        <color indexed="8"/>
        <rFont val="Times New Roman"/>
        <family val="1"/>
        <charset val="204"/>
      </rPr>
      <t xml:space="preserve"> з використанням УЯР вул. Каховська - Іліци в сумі 49000 грн., вул. Курчатова - Промислова в сумі 49000 грн., прилеглі до вул. Соборної провулки  в сумі 49000 грн., вул. Героїв України  - Шевченка в сумі 49000 грн. КЕКВ 2240</t>
    </r>
  </si>
  <si>
    <r>
      <t xml:space="preserve">Перерозподіл бюджетних призначень в межах виділених річних асигнувань в сумі 40000 грн., перенесення фінансування з КПКВ 0117461 КЕКВ 2240, збільшення фінансування на </t>
    </r>
    <r>
      <rPr>
        <b/>
        <sz val="12"/>
        <color indexed="8"/>
        <rFont val="Times New Roman"/>
        <family val="1"/>
        <charset val="204"/>
      </rPr>
      <t xml:space="preserve">придбання шин для забезпечення роботи комунальних транспортних засобів </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</si>
  <si>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на </t>
    </r>
    <r>
      <rPr>
        <b/>
        <sz val="12"/>
        <color indexed="8"/>
        <rFont val="Times New Roman"/>
        <family val="1"/>
        <charset val="204"/>
      </rPr>
      <t xml:space="preserve">придбання підсипкового матеріалу на зиму (відсіву) </t>
    </r>
    <r>
      <rPr>
        <sz val="12"/>
        <color indexed="8"/>
        <rFont val="Times New Roman"/>
        <family val="1"/>
        <charset val="204"/>
      </rPr>
      <t>КЕКВ 2210</t>
    </r>
  </si>
  <si>
    <r>
      <t xml:space="preserve">Перерозподіл бюджетних призначень в межах виділених річних асигнувань в сумі 40000 грн., перенесення фінансування з КПКВ 0117461 КЕКВ 2240, збільшення фінансування на </t>
    </r>
    <r>
      <rPr>
        <b/>
        <sz val="12"/>
        <color indexed="8"/>
        <rFont val="Times New Roman"/>
        <family val="1"/>
        <charset val="204"/>
      </rPr>
      <t xml:space="preserve">оплату послуг з перевезення підсипкового матеріалу на зиму (відсіву) </t>
    </r>
    <r>
      <rPr>
        <sz val="12"/>
        <color indexed="8"/>
        <rFont val="Times New Roman"/>
        <family val="1"/>
        <charset val="204"/>
      </rPr>
      <t>КЕКВ 2240</t>
    </r>
  </si>
  <si>
    <t xml:space="preserve">23.09.2021        №01-14/547 </t>
  </si>
  <si>
    <t xml:space="preserve">23.09.2021        №01-14/548 </t>
  </si>
  <si>
    <t>рішення  від 16.09.2021 року №537</t>
  </si>
  <si>
    <r>
      <t xml:space="preserve"> Перерозподіл бюджетних призначень в межах виділених річних асигнувань в сумі  999656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2275,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</si>
  <si>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r>
      <t xml:space="preserve">Перерозподіл бюджетних призначень в межах виділених річних асигнувань в сумі 48975 грн., перенесення фінансування з КПКВ 0117363 КЕКВ 3142, збільшення фінансування на </t>
    </r>
    <r>
      <rPr>
        <b/>
        <sz val="12"/>
        <color indexed="8"/>
        <rFont val="Times New Roman"/>
        <family val="1"/>
        <charset val="204"/>
      </rPr>
      <t xml:space="preserve">придбання запасних частин для забезпечення роботи комунальних транспортних засобів </t>
    </r>
    <r>
      <rPr>
        <sz val="12"/>
        <color indexed="8"/>
        <rFont val="Times New Roman"/>
        <family val="1"/>
        <charset val="204"/>
      </rPr>
      <t xml:space="preserve"> КЕКВ 2210</t>
    </r>
  </si>
  <si>
    <r>
      <t xml:space="preserve">Додаткові кошти  в сумі 5000 грн. </t>
    </r>
    <r>
      <rPr>
        <b/>
        <sz val="12"/>
        <color indexed="8"/>
        <rFont val="Times New Roman"/>
        <family val="1"/>
        <charset val="204"/>
      </rPr>
      <t>на оплату послуг на проведення заходів</t>
    </r>
    <r>
      <rPr>
        <sz val="12"/>
        <color indexed="8"/>
        <rFont val="Times New Roman"/>
        <family val="1"/>
        <charset val="204"/>
      </rPr>
      <t xml:space="preserve"> (монтаж та демонтаж новорічних прикрас КЕКВ 2240, за рахунок перевиконання дохідної частини загального фонду бюджету Новоукраїнської міської територіальної громади  станом на 01.09.2021 року </t>
    </r>
  </si>
  <si>
    <t xml:space="preserve"> Перерозподіл бюджетних призначень в межах виділених річних асигнувань в сумі  5000 грн., перенесення фінансування з КПКВ 0117461 КЕКВ 2240, а саме збільшення фінансування на оплату послуг з інформатизації - розробки офіційного веб-сайту Новоукраїнської міської ради КЕКВ 2240</t>
  </si>
  <si>
    <t>28.09.2021        №2050</t>
  </si>
  <si>
    <r>
      <t xml:space="preserve">Перерозподіл бюджетних призначень в межах виділених річних асигнувань в сумі  25000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збільшення фінансування </t>
    </r>
    <r>
      <rPr>
        <b/>
        <sz val="12"/>
        <color indexed="8"/>
        <rFont val="Times New Roman"/>
        <family val="1"/>
        <charset val="204"/>
      </rPr>
      <t>на придбання медикаментів (забезпечення безкоштовним пільговим відпуском медикаментів) КНП "Центр первинної медико-санітарної допомоги" Новоукраїнської міської ради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</si>
  <si>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49000 грн.,  перенесення фінансування  з КПКВ 0117461 КЕКВ 2240,</t>
    </r>
    <r>
      <rPr>
        <sz val="12"/>
        <rFont val="Times New Roman"/>
        <family val="1"/>
        <charset val="204"/>
      </rPr>
      <t xml:space="preserve"> а саме </t>
    </r>
    <r>
      <rPr>
        <b/>
        <sz val="12"/>
        <color indexed="8"/>
        <rFont val="Times New Roman"/>
        <family val="1"/>
        <charset val="204"/>
      </rPr>
      <t>збільшення фінансування на  поточний ремонт доріг</t>
    </r>
    <r>
      <rPr>
        <sz val="12"/>
        <color indexed="8"/>
        <rFont val="Times New Roman"/>
        <family val="1"/>
        <charset val="204"/>
      </rPr>
      <t xml:space="preserve"> з використанням УЯР вулиць Захарівського старостату КЕКВ 2240</t>
    </r>
  </si>
  <si>
    <r>
      <t xml:space="preserve">Перерозподіл бюджетних призначень в межах виділених річних асигнувань в сумі  49000 грн., перенесення фінансування  на КПКВ 1017461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</si>
  <si>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Додаткові кошти в сумі 3000 грн.</t>
    </r>
    <r>
      <rPr>
        <b/>
        <sz val="12"/>
        <color indexed="8"/>
        <rFont val="Times New Roman"/>
        <family val="1"/>
        <charset val="204"/>
      </rPr>
      <t xml:space="preserve"> на проведення  протипожежних заходів та інше,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</si>
  <si>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 940 від 27.09.2021 року</t>
  </si>
  <si>
    <t xml:space="preserve">Додаткова потреба до кінця року, що не врахована </t>
  </si>
  <si>
    <r>
      <t xml:space="preserve">Перерозподіл бюджетних призначень в межах виділених річних асигнувань в сумі 199000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t>
    </r>
    <r>
      <rPr>
        <b/>
        <sz val="12"/>
        <color indexed="8"/>
        <rFont val="Times New Roman"/>
        <family val="1"/>
        <charset val="204"/>
      </rPr>
      <t>на оплату поточного ремонту димової труби  у Новоукраїнському комунальному закладі дошкільної освіти</t>
    </r>
    <r>
      <rPr>
        <sz val="12"/>
        <color indexed="8"/>
        <rFont val="Times New Roman"/>
        <family val="1"/>
        <charset val="204"/>
      </rPr>
      <t xml:space="preserve"> "Берізка" КЕКВ 2240 </t>
    </r>
  </si>
  <si>
    <t xml:space="preserve"> ЖКП перевезення</t>
  </si>
  <si>
    <t xml:space="preserve"> ЖКП запчастини</t>
  </si>
  <si>
    <t>ЖКП фінансова підтримка до кінця року</t>
  </si>
  <si>
    <t>Водокомунгосп фінансова підтримка до кінця року</t>
  </si>
  <si>
    <t>20.09.2021 року б/н</t>
  </si>
  <si>
    <t>культура передплата на 2022 рік по бібліотеках</t>
  </si>
  <si>
    <t>енергоносії медицина</t>
  </si>
  <si>
    <t>залишок нерозподілених</t>
  </si>
  <si>
    <t>зараз</t>
  </si>
  <si>
    <t xml:space="preserve"> ЖКП піскорозкидач, прямим договором  185000</t>
  </si>
  <si>
    <t xml:space="preserve"> ЖКП демонтаж труби "Берізка"</t>
  </si>
  <si>
    <t>Перерозподіл бюджетних призначень в межах виділених річних асигнувань в сумі 210000 грн., перенесення фінансування з КПКВ 0117461  КЕКВ 2240,  збільшення фінансування на  виготовлення проектно-кошторисної документації  "Капітальний ремонт центрального стадіону в м. Новоукраїнка Кіровоградської області"  КЕКВ 3132</t>
  </si>
  <si>
    <t>06.10.2021 №11</t>
  </si>
  <si>
    <r>
      <t xml:space="preserve">Перерозподіл бюджетних призначень в межах виділених річних асигнувань в сумі 20959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Новоукраїнського ЖКП,  для оплати збитків, заподіяних навколишньому середовищу, внаслідок забруднення водних ресурсів скидами </t>
    </r>
    <r>
      <rPr>
        <sz val="12"/>
        <color indexed="8"/>
        <rFont val="Times New Roman"/>
        <family val="1"/>
        <charset val="204"/>
      </rPr>
      <t xml:space="preserve">КЕКВ 2610 </t>
    </r>
  </si>
  <si>
    <r>
      <t xml:space="preserve"> Перерозподіл бюджетних призначень в межах виділених річних асигнувань в сумі  35380 грн., перенесення фінансування   з КПКВ 1010160  КЕКВ 2111 в сумі 29000 грн. та КЕКВ 2120 в сумі 6380 грн. , а саме збільшення фінансування на виплату заробітної плати  в сумі 29000 грн. КЕКВ 2111, нарахування на заробітну плату в сумі 6380 грн. КЕКВ 2120, </t>
    </r>
    <r>
      <rPr>
        <b/>
        <sz val="12"/>
        <rFont val="Times New Roman"/>
        <family val="1"/>
        <charset val="204"/>
      </rPr>
      <t>у зв'язку з недостатністю коштів</t>
    </r>
  </si>
  <si>
    <t>04.10.2021         №706-р</t>
  </si>
  <si>
    <t>Субвенція з обласного бюджету  в сумі 1799250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жовтня 2021 року №706- р КЕКВ 3220</t>
  </si>
  <si>
    <t>05.10.2021        №287/01-20</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</si>
  <si>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</si>
  <si>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06.10.2021        №268</t>
  </si>
  <si>
    <t xml:space="preserve">0611061 </t>
  </si>
  <si>
    <t>Перерозподіл бюджетних призначень в межах виділених річних асигнувань в сумі 177918 грн., зменшення фінансування по КЕКВ2210 та збільшення фінансування на придбання обладнання для їдальні (харчоблоку) Новоукраїнського ліцею №4 вартістю вище 20000 грн.,  за рахунок залишку коштів освітньої субвенції станом на 01.01.2021 року по інклюзивно - ресурсному центру КЕКВ 3110</t>
  </si>
  <si>
    <t>08.10.2021        №01-14/584</t>
  </si>
  <si>
    <t>0611061</t>
  </si>
  <si>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на </t>
    </r>
    <r>
      <rPr>
        <b/>
        <sz val="12"/>
        <color indexed="8"/>
        <rFont val="Times New Roman"/>
        <family val="1"/>
        <charset val="204"/>
      </rPr>
      <t xml:space="preserve">проведення поточного ремонту приміщення, яке прийнято до комунальної власності Новоукраїнської міської територіальної громади та знаходиться за адресою: м.Новоукраїнка, вул. Соборна, 70 </t>
    </r>
    <r>
      <rPr>
        <sz val="12"/>
        <color indexed="8"/>
        <rFont val="Times New Roman"/>
        <family val="1"/>
        <charset val="204"/>
      </rPr>
      <t xml:space="preserve"> КЕКВ 2240</t>
    </r>
  </si>
  <si>
    <t>Перерозподіл бюджетних призначень в межах виділених річних асигнувань в сумі 30000 грн., перенесення фінансування на КПКВ 0611021 КЕКВ 2210 в сумі 12208 грн.,  КЕКВ 3110 в сумі 17792 грн., а саме зменшення фінансування  на підвезення дітей,  у зв'язку з економією коштів  КЕКВ 2240</t>
  </si>
  <si>
    <t>08.10.2021        №01-14/585</t>
  </si>
  <si>
    <t>Перерозподіл бюджетних призначень в межах виділених річних асигнувань в сумі 17792 грн., перенесення фінансування з КПКВ 0611142 КЕКВ 2240, а саме збільшення збільшення коштів  на  співфінансування з бюджету   Новоукраїнської міської територіальної громади придбання обладнання для їдальні (харчоблоку) Новоукраїнського ліцею №4 вартістю більше 20000 грн., що придбаваються за рахунок залишку коштів освітньої субвенції станом на 01.01.2021 року по інклюзивно - ресурсному центру КЕКВ 3110</t>
  </si>
  <si>
    <t>1061</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</si>
  <si>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</si>
  <si>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</si>
  <si>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</si>
  <si>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</si>
  <si>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Перерозподіл бюджетних призначень в межах виділених річних асигнувань в сумі 12208 грн., перенесення фінансування з КПКВ 0611142 КЕКВ 2240, а саме збільшення коштів  на  співфінансування з бюджету   Новоукраїнської міської територіальної громади придбання обладнання для їдальні (харчоблоку) Новоукраїнського ліцею №4 вартістю до 20000 грн., що придбаваються за рахунок залишку коштів освітньої субвенції станом на 01.01.2021 року по інклюзивно - ресурсному центру КЕКВ 2210</t>
  </si>
  <si>
    <t>08.10.2021 б/н</t>
  </si>
  <si>
    <t>11.10.2021        №1330</t>
  </si>
  <si>
    <t xml:space="preserve">Перерозподіл бюджетних призначень в межах виділених річних асигнувань в сумі 10000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на придбання тканини  для пошиття костюмів по центру дитячої та юнацької творчості "Зоріт" КЕКВ 2210 </t>
  </si>
  <si>
    <t>Субвенція з обласного бюджету  в сумі 1799250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жовтня 2021 року №706- р КЕКВ 3240</t>
  </si>
  <si>
    <t>Перерозподіл бюджетних призначень в межах виділених річних асигнувань в сумі  36500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0812010 КЕКВ 2610 в сумі  11500 грн., на КПКВ 0812111 КЕКВ 2610 в сумі  25000 грн., зменшення фінансування на  поточний ремонт доріг КЕКВ 2240</t>
  </si>
  <si>
    <t>0117325</t>
  </si>
  <si>
    <t>7325</t>
  </si>
  <si>
    <t>Будівництво 1 споруд, установ та закладів фізичної культури і спорту</t>
  </si>
  <si>
    <t xml:space="preserve">виготовлення проектно-кошторисної документації  "Капітальний ремонт центрального стадіону в м. Новоукраїнка Кіровоградської області" </t>
  </si>
  <si>
    <t>Програма забезпечення впорядкованим соціальним житлом дітей-сиріт та дітей, позбавлених батьківського піклування, осіб з їх числа на території Новоукраїнської міської об’єднаної територіальної громади на 2019-2021 роки</t>
  </si>
  <si>
    <t>від 12.03.2019 року № 1216</t>
  </si>
  <si>
    <t>державного бюджету</t>
  </si>
  <si>
    <t>місцевих бюджетів</t>
  </si>
  <si>
    <t>у тому числі за рахунок субвенції з місцевого бюджету</t>
  </si>
  <si>
    <t>Перерозподіл бюджетних призначень в межах виділених річних асигнувань в сумі 48975 грн., перенесення фінансування на КПКВ 0116030 КЕКВ 2210, а саме зменшення фінансування  на  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 КЕКВ 3142</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</si>
  <si>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та туризму виконавчого комітету Новоукраїнської міської ради з КПКВ 7461 КЕКВ 2240, а саме збільшення фінансування на придбання книг для поповнення бібліотечного фонду  в сумі 15000 грн. та передплата періодичних видань на 2022 рік по бібліотечних закладах громади  в сумі 32000 грн. КЕКВ 3110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</si>
  <si>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та туризму виконавчого комітету Новоукраїнської міської ради,  перенесення фінансування  на КПКВ 1014030 КЕКВ 3110, зменшення фінансування на  поточний ремонт доріг КЕКВ 2240</t>
  </si>
  <si>
    <r>
      <t xml:space="preserve"> Перерозподіл бюджетних призначень в межах виділених річних асигнувань в сумі  35380 грн., перенесення фінансування   на КПКВ 1014081  КЕКВ 2111 в сумі 29000 грн. та КЕКВ 2120 в сумі 6380 грн. , а саме збменшення фінансування на виплату заробітної плати  в сумі 29000 грн. КЕКВ 2111, нарахування на заробітну плату в сумі 6380 грн. КЕКВ 2120, </t>
    </r>
    <r>
      <rPr>
        <b/>
        <sz val="12"/>
        <rFont val="Times New Roman"/>
        <family val="1"/>
        <charset val="204"/>
      </rPr>
      <t>у зв'язку з економією коштів</t>
    </r>
  </si>
  <si>
    <t xml:space="preserve">Перерозподіл бюджетних призначень в межах виділених річних асигнувань в сумі 999656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придбання вугілля  для  закладах середньої освіти громади  КЕКВ 2275, у зв'язку з недостатністю коштів </t>
  </si>
  <si>
    <r>
      <t xml:space="preserve">Перерозподіл бюджетних призначень в межах виділених річних асигнувань в сумі  11500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Новоукраїнської міськоїої ради,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придбання чотирьох відеокамер КНП "Новоукраїнська  міська лікарня" </t>
    </r>
    <r>
      <rPr>
        <sz val="12"/>
        <color indexed="8"/>
        <rFont val="Times New Roman"/>
        <family val="1"/>
        <charset val="204"/>
      </rPr>
      <t>Новоукраїнської міськоїої ради КЕКВ 2610</t>
    </r>
  </si>
  <si>
    <r>
      <t xml:space="preserve">Перерозподіл бюджетних призначень в межах виділених річних асигнувань в сумі  735709 грн.,  перенесення фінансування  на КПКВ 0110180 КЕКВ 2240 в сумі 5000 грн., КПКВ 0116013 КЕКВ 2610 в сумі 87750 грн., КПКВ 0116020 КЕКВ 2610 в сумі 254959 грн.,  КПКВ 0116030 КЕКВ 2210 в сумі 89000 грн., КЕКВ 2240 в сумі 40000 грн., КПКВ 0117693 КЕКВ 2240 в сумі 49000 грн., КПКВ 0117325 КЕКВ 3132 в сумі 210000 грн., </t>
    </r>
    <r>
      <rPr>
        <b/>
        <sz val="12"/>
        <rFont val="Times New Roman"/>
        <family val="1"/>
        <charset val="204"/>
      </rPr>
      <t>зменшення фінансування на  поточний ремонт доріг</t>
    </r>
    <r>
      <rPr>
        <sz val="12"/>
        <rFont val="Times New Roman"/>
        <family val="1"/>
        <charset val="204"/>
      </rPr>
      <t xml:space="preserve"> КЕКВ 2240</t>
    </r>
  </si>
  <si>
    <r>
      <t xml:space="preserve">Додаткові кошти в сумі 42000 грн., перенесення фінансування з КПКВ 08120110 КЕКВ 2610, збільшення фінансування   </t>
    </r>
    <r>
      <rPr>
        <b/>
        <sz val="12"/>
        <color indexed="8"/>
        <rFont val="Times New Roman"/>
        <family val="1"/>
        <charset val="204"/>
      </rPr>
      <t xml:space="preserve">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</si>
  <si>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Перерозподіл бюджетних призначень в межах виділених річних асигнувань в сумі 1904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0117461  КЕКВ 2240,  саме збільшення фінансування на виготовлення науково-технічної документації  з експертизи визначення споживання палива автобусом Еталон по МНВК  КЕКВ 2240 </t>
  </si>
  <si>
    <r>
      <t xml:space="preserve">Перерозподіл бюджетних призначень в межах виділених річних асигнувань в сумі  245904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0611010 КЕКВ 2240 в сумі  199000 грн., КПКВ 0611021 КЕКВ 2240 в сумі  5000 грн., КПКВ 0611070 КЕКВ 2210 в сумі  10000 грн., КПКВ 0611141 КЕКВ 2210 в сумі  24000 грн.,  КЕКВ 2240 в сумі  7904 грн.,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</si>
  <si>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65000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Новоукраїнського ЖКП,   для оплати обов'язкових платежів та податків (компенсація витрат, що не покриває діяльність комунального підприємства з пасажирських перевезень на приміські автобусні маршрути загального користування "с.Фурманівка - с.Звірівка" та "с.Звірівка - м.Новоукраїнка"(ліцезія, страховка, технічні засоби, технічне обслуговування автобусів та заробітна плата водіїв))  </t>
    </r>
    <r>
      <rPr>
        <sz val="12"/>
        <color indexed="8"/>
        <rFont val="Times New Roman"/>
        <family val="1"/>
        <charset val="204"/>
      </rPr>
      <t xml:space="preserve">КЕКВ 2610 </t>
    </r>
  </si>
  <si>
    <t>11.10.2021 б/н</t>
  </si>
  <si>
    <t>Додаткові  кошти в сумі 62131 грн. для проведення нормативно грошової оцінки земель населених пунктів громади за рахунок залишку коштів спеціального фонду станом на 01 січня 2021 року від надходження коштів від відшкодування втрат сільськогосподарського і лісогосподарського виробництва ,   20% співфінансування на виготовлення нормативно-грошової оцінки земель (видатки розвитку) КЕКВ 2281</t>
  </si>
  <si>
    <t xml:space="preserve">від 12 жовтня 2021 року № 490        </t>
  </si>
  <si>
    <t xml:space="preserve">від 12 жовтня 2021 року № 490       </t>
  </si>
  <si>
    <t xml:space="preserve">Секретар міської ради                  </t>
  </si>
  <si>
    <t xml:space="preserve">від 12 жовтня 2021року № 490        </t>
  </si>
  <si>
    <t>Додаток  8    
              до рішення Новоукраїнської міської ради від 12 жовтня 2021 року № 490</t>
  </si>
  <si>
    <t xml:space="preserve">          Секретар міської ради                                                                                                                                                                           Л. Вишневецька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</si>
</sst>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5" x14ac:knownFonts="1">
    <font>
      <sz val="10"/>
      <color theme="1"/>
      <name val="Calibri"/>
      <family val="2"/>
      <charset val="204"/>
      <scheme val="minor"/>
    </font>
    <font>
      <sz val="11"/>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b/>
      <sz val="10"/>
      <color theme="1"/>
      <name val="Calibri"/>
      <family val="2"/>
      <charset val="204"/>
      <scheme val="minor"/>
    </font>
    <font>
      <b/>
      <sz val="14"/>
      <color theme="1"/>
      <name val="Calibri"/>
      <family val="2"/>
      <charset val="204"/>
      <scheme val="minor"/>
    </font>
    <font>
      <sz val="12"/>
      <color theme="1"/>
      <name val="Calibri"/>
      <family val="2"/>
      <charset val="204"/>
      <scheme val="minor"/>
    </font>
    <font>
      <sz val="14"/>
      <name val="Times New Roman"/>
      <family val="1"/>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s>
  <cellStyleXfs count="73">
    <xf numFmtId="0" fontId="0" fillId="0" borderId="0"/>
    <xf numFmtId="0" fontId="7" fillId="0" borderId="0"/>
    <xf numFmtId="0" fontId="15" fillId="0" borderId="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8" borderId="0" applyNumberFormat="0" applyBorder="0" applyAlignment="0" applyProtection="0"/>
    <xf numFmtId="0" fontId="28" fillId="5" borderId="0" applyNumberFormat="0" applyBorder="0" applyAlignment="0" applyProtection="0"/>
    <xf numFmtId="0" fontId="15" fillId="0" borderId="0"/>
    <xf numFmtId="0" fontId="28" fillId="13"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9" borderId="24" applyNumberFormat="0" applyAlignment="0" applyProtection="0"/>
    <xf numFmtId="0" fontId="30" fillId="8"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5" fillId="0" borderId="0"/>
    <xf numFmtId="0" fontId="31" fillId="0" borderId="0"/>
    <xf numFmtId="0" fontId="15" fillId="0" borderId="0"/>
    <xf numFmtId="0" fontId="15" fillId="0" borderId="0"/>
    <xf numFmtId="0" fontId="31" fillId="0" borderId="0"/>
    <xf numFmtId="0" fontId="31" fillId="0" borderId="0"/>
    <xf numFmtId="0" fontId="31" fillId="0" borderId="0"/>
    <xf numFmtId="0" fontId="31" fillId="0" borderId="0"/>
    <xf numFmtId="0" fontId="31" fillId="0" borderId="0"/>
    <xf numFmtId="0" fontId="7" fillId="0" borderId="0">
      <alignment vertical="top"/>
    </xf>
    <xf numFmtId="0" fontId="32" fillId="0" borderId="25" applyNumberFormat="0" applyFill="0" applyAlignment="0" applyProtection="0"/>
    <xf numFmtId="0" fontId="33" fillId="17" borderId="26" applyNumberFormat="0" applyAlignment="0" applyProtection="0"/>
    <xf numFmtId="0" fontId="34" fillId="0" borderId="0" applyNumberFormat="0" applyFill="0" applyBorder="0" applyAlignment="0" applyProtection="0"/>
    <xf numFmtId="0" fontId="35" fillId="18" borderId="24" applyNumberFormat="0" applyAlignment="0" applyProtection="0"/>
    <xf numFmtId="0" fontId="6" fillId="0" borderId="0"/>
    <xf numFmtId="0" fontId="36" fillId="0" borderId="0"/>
    <xf numFmtId="0" fontId="20" fillId="0" borderId="0"/>
    <xf numFmtId="0" fontId="20" fillId="0" borderId="0"/>
    <xf numFmtId="0" fontId="7" fillId="0" borderId="0"/>
    <xf numFmtId="0" fontId="37" fillId="0" borderId="0"/>
    <xf numFmtId="0" fontId="6" fillId="0" borderId="0"/>
    <xf numFmtId="0" fontId="6" fillId="0" borderId="0"/>
    <xf numFmtId="0" fontId="6" fillId="0" borderId="0"/>
    <xf numFmtId="0" fontId="6" fillId="0" borderId="0"/>
    <xf numFmtId="0" fontId="38" fillId="0" borderId="27" applyNumberFormat="0" applyFill="0" applyAlignment="0" applyProtection="0"/>
    <xf numFmtId="0" fontId="39" fillId="19" borderId="0" applyNumberFormat="0" applyBorder="0" applyAlignment="0" applyProtection="0"/>
    <xf numFmtId="0" fontId="20" fillId="6" borderId="28" applyNumberFormat="0" applyFont="0" applyAlignment="0" applyProtection="0"/>
    <xf numFmtId="0" fontId="40" fillId="18" borderId="29" applyNumberFormat="0" applyAlignment="0" applyProtection="0"/>
    <xf numFmtId="0" fontId="41" fillId="9" borderId="0" applyNumberFormat="0" applyBorder="0" applyAlignment="0" applyProtection="0"/>
    <xf numFmtId="0" fontId="42" fillId="0" borderId="0"/>
    <xf numFmtId="0" fontId="32" fillId="0" borderId="0" applyNumberFormat="0" applyFill="0" applyBorder="0" applyAlignment="0" applyProtection="0"/>
    <xf numFmtId="0" fontId="43" fillId="0" borderId="0" applyNumberFormat="0" applyFill="0" applyBorder="0" applyAlignment="0" applyProtection="0"/>
    <xf numFmtId="0" fontId="1" fillId="0" borderId="0"/>
  </cellStyleXfs>
  <cellXfs count="930">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5" xfId="0" applyFont="1" applyBorder="1"/>
    <xf numFmtId="0" fontId="3" fillId="0" borderId="5" xfId="0" applyFont="1" applyBorder="1" applyAlignment="1">
      <alignment vertical="center"/>
    </xf>
    <xf numFmtId="0" fontId="2" fillId="0" borderId="5" xfId="0" applyFont="1" applyBorder="1" applyAlignment="1">
      <alignment vertical="center"/>
    </xf>
    <xf numFmtId="0" fontId="8" fillId="0" borderId="0" xfId="1" applyFont="1"/>
    <xf numFmtId="0" fontId="8" fillId="0" borderId="0" xfId="1" applyFont="1" applyAlignment="1">
      <alignment horizontal="left"/>
    </xf>
    <xf numFmtId="0" fontId="9" fillId="0" borderId="0" xfId="1" applyFont="1"/>
    <xf numFmtId="0" fontId="10" fillId="0" borderId="0" xfId="1" applyFont="1"/>
    <xf numFmtId="0" fontId="11" fillId="0" borderId="0" xfId="1" applyFont="1" applyAlignment="1">
      <alignment horizontal="center"/>
    </xf>
    <xf numFmtId="0" fontId="8" fillId="0" borderId="0" xfId="1" applyFont="1" applyAlignment="1"/>
    <xf numFmtId="0" fontId="12" fillId="0" borderId="0"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16" fillId="2" borderId="0" xfId="2" applyFont="1" applyFill="1" applyAlignment="1">
      <alignment horizontal="right"/>
    </xf>
    <xf numFmtId="2" fontId="12" fillId="0" borderId="14" xfId="1" applyNumberFormat="1" applyFont="1" applyFill="1" applyBorder="1" applyAlignment="1">
      <alignment horizontal="center" vertical="center" wrapText="1"/>
    </xf>
    <xf numFmtId="1" fontId="12" fillId="0" borderId="10" xfId="1" applyNumberFormat="1" applyFont="1" applyFill="1" applyBorder="1" applyAlignment="1">
      <alignment horizontal="center" vertical="center"/>
    </xf>
    <xf numFmtId="1" fontId="12" fillId="0" borderId="15" xfId="1" applyNumberFormat="1" applyFont="1" applyFill="1" applyBorder="1" applyAlignment="1">
      <alignment horizontal="center" vertical="center" wrapText="1"/>
    </xf>
    <xf numFmtId="0" fontId="12" fillId="0" borderId="16" xfId="1" applyFont="1" applyFill="1" applyBorder="1" applyAlignment="1">
      <alignment horizontal="left" vertical="center"/>
    </xf>
    <xf numFmtId="0" fontId="12" fillId="0" borderId="17" xfId="1" applyFont="1" applyFill="1" applyBorder="1" applyAlignment="1">
      <alignment horizontal="left" vertical="center" wrapText="1"/>
    </xf>
    <xf numFmtId="1" fontId="12" fillId="0" borderId="17" xfId="1" applyNumberFormat="1" applyFont="1" applyFill="1" applyBorder="1" applyAlignment="1">
      <alignment horizontal="center" vertical="center"/>
    </xf>
    <xf numFmtId="1" fontId="12" fillId="0" borderId="18" xfId="1" applyNumberFormat="1" applyFont="1" applyFill="1" applyBorder="1" applyAlignment="1">
      <alignment horizontal="center" vertical="center"/>
    </xf>
    <xf numFmtId="0" fontId="17" fillId="0" borderId="0" xfId="1" applyFont="1" applyBorder="1"/>
    <xf numFmtId="1" fontId="17" fillId="0" borderId="0" xfId="1" applyNumberFormat="1" applyFont="1"/>
    <xf numFmtId="0" fontId="17" fillId="0" borderId="0" xfId="1" applyFont="1"/>
    <xf numFmtId="0" fontId="12" fillId="0" borderId="19" xfId="1" applyFont="1" applyFill="1" applyBorder="1" applyAlignment="1">
      <alignment horizontal="left" vertical="center"/>
    </xf>
    <xf numFmtId="0" fontId="12" fillId="0" borderId="20" xfId="1" applyFont="1" applyFill="1" applyBorder="1" applyAlignment="1">
      <alignment horizontal="left" vertical="center" wrapText="1"/>
    </xf>
    <xf numFmtId="1" fontId="12" fillId="0" borderId="20" xfId="1" applyNumberFormat="1" applyFont="1" applyFill="1" applyBorder="1" applyAlignment="1">
      <alignment horizontal="center" vertical="center"/>
    </xf>
    <xf numFmtId="1" fontId="12" fillId="0" borderId="21" xfId="1" applyNumberFormat="1" applyFont="1" applyFill="1" applyBorder="1" applyAlignment="1">
      <alignment horizontal="center" vertical="center"/>
    </xf>
    <xf numFmtId="0" fontId="18" fillId="0" borderId="0" xfId="1" applyFont="1"/>
    <xf numFmtId="0" fontId="12" fillId="0" borderId="5" xfId="1" applyFont="1" applyFill="1" applyBorder="1" applyAlignment="1">
      <alignment horizontal="left" vertical="center"/>
    </xf>
    <xf numFmtId="0" fontId="12" fillId="0" borderId="1" xfId="1" applyFont="1" applyFill="1" applyBorder="1" applyAlignment="1">
      <alignment horizontal="left" vertical="center" wrapText="1"/>
    </xf>
    <xf numFmtId="1" fontId="12" fillId="0" borderId="1" xfId="1" applyNumberFormat="1" applyFont="1" applyFill="1" applyBorder="1" applyAlignment="1">
      <alignment horizontal="center" vertical="center"/>
    </xf>
    <xf numFmtId="1" fontId="12" fillId="0" borderId="6" xfId="1" applyNumberFormat="1" applyFont="1" applyFill="1" applyBorder="1" applyAlignment="1">
      <alignment horizontal="center" vertical="center"/>
    </xf>
    <xf numFmtId="0" fontId="8" fillId="0" borderId="5" xfId="1" applyFont="1" applyFill="1" applyBorder="1" applyAlignment="1">
      <alignment horizontal="left" vertical="center"/>
    </xf>
    <xf numFmtId="0" fontId="8" fillId="0" borderId="1" xfId="1" applyFont="1" applyFill="1" applyBorder="1" applyAlignment="1">
      <alignment horizontal="left" vertical="center" wrapText="1"/>
    </xf>
    <xf numFmtId="1" fontId="8" fillId="0" borderId="1" xfId="1" applyNumberFormat="1" applyFont="1" applyFill="1" applyBorder="1" applyAlignment="1">
      <alignment horizontal="center" vertical="center"/>
    </xf>
    <xf numFmtId="1" fontId="16" fillId="2" borderId="1" xfId="1" applyNumberFormat="1" applyFont="1" applyFill="1" applyBorder="1" applyAlignment="1">
      <alignment horizontal="center" vertical="center"/>
    </xf>
    <xf numFmtId="1" fontId="8" fillId="0" borderId="6" xfId="1" applyNumberFormat="1" applyFont="1" applyFill="1" applyBorder="1" applyAlignment="1">
      <alignment horizontal="center" vertical="center"/>
    </xf>
    <xf numFmtId="0" fontId="19" fillId="0" borderId="0" xfId="1" applyFont="1"/>
    <xf numFmtId="0" fontId="7" fillId="0" borderId="0" xfId="1"/>
    <xf numFmtId="0" fontId="8" fillId="0" borderId="22" xfId="1" applyFont="1" applyFill="1" applyBorder="1" applyAlignment="1">
      <alignment horizontal="left" vertical="center"/>
    </xf>
    <xf numFmtId="0" fontId="8" fillId="0" borderId="12" xfId="1" applyFont="1" applyFill="1" applyBorder="1" applyAlignment="1">
      <alignment horizontal="left" vertical="center" wrapText="1"/>
    </xf>
    <xf numFmtId="1" fontId="8" fillId="0" borderId="12" xfId="1" applyNumberFormat="1" applyFont="1" applyFill="1" applyBorder="1" applyAlignment="1">
      <alignment horizontal="center" vertical="center"/>
    </xf>
    <xf numFmtId="1" fontId="8" fillId="0" borderId="14" xfId="1" applyNumberFormat="1" applyFont="1" applyFill="1" applyBorder="1" applyAlignment="1">
      <alignment horizontal="center" vertical="center"/>
    </xf>
    <xf numFmtId="1" fontId="8" fillId="2" borderId="1" xfId="1" applyNumberFormat="1" applyFont="1" applyFill="1" applyBorder="1" applyAlignment="1">
      <alignment horizontal="center" vertical="center"/>
    </xf>
    <xf numFmtId="1" fontId="8" fillId="2" borderId="12" xfId="1" applyNumberFormat="1" applyFont="1" applyFill="1" applyBorder="1" applyAlignment="1">
      <alignment horizontal="center" vertical="center"/>
    </xf>
    <xf numFmtId="1" fontId="8" fillId="0" borderId="17" xfId="1" applyNumberFormat="1" applyFont="1" applyFill="1" applyBorder="1" applyAlignment="1">
      <alignment horizontal="center" vertical="center"/>
    </xf>
    <xf numFmtId="1" fontId="8" fillId="0" borderId="20" xfId="1" applyNumberFormat="1" applyFont="1" applyFill="1" applyBorder="1" applyAlignment="1">
      <alignment horizontal="center" vertical="center"/>
    </xf>
    <xf numFmtId="1" fontId="8" fillId="2" borderId="6" xfId="1" applyNumberFormat="1" applyFont="1" applyFill="1" applyBorder="1" applyAlignment="1">
      <alignment horizontal="center" vertical="center"/>
    </xf>
    <xf numFmtId="0" fontId="12" fillId="0" borderId="12" xfId="1" applyFont="1" applyFill="1" applyBorder="1" applyAlignment="1">
      <alignment horizontal="left" vertical="center" wrapText="1"/>
    </xf>
    <xf numFmtId="1" fontId="12" fillId="0" borderId="12" xfId="1" applyNumberFormat="1" applyFont="1" applyFill="1" applyBorder="1" applyAlignment="1">
      <alignment horizontal="center" vertical="center"/>
    </xf>
    <xf numFmtId="1" fontId="12" fillId="0" borderId="14" xfId="1" applyNumberFormat="1" applyFont="1" applyFill="1" applyBorder="1" applyAlignment="1">
      <alignment horizontal="center" vertical="center"/>
    </xf>
    <xf numFmtId="0" fontId="12" fillId="0" borderId="16" xfId="2" applyFont="1" applyFill="1" applyBorder="1" applyAlignment="1">
      <alignment horizontal="left" vertical="center"/>
    </xf>
    <xf numFmtId="0" fontId="12" fillId="0" borderId="17" xfId="2" applyFont="1" applyFill="1" applyBorder="1" applyAlignment="1">
      <alignment horizontal="left" vertical="center" wrapText="1"/>
    </xf>
    <xf numFmtId="1" fontId="12" fillId="0" borderId="17" xfId="2" applyNumberFormat="1" applyFont="1" applyFill="1" applyBorder="1" applyAlignment="1">
      <alignment horizontal="center" vertical="center"/>
    </xf>
    <xf numFmtId="1" fontId="12" fillId="0" borderId="18" xfId="2" applyNumberFormat="1" applyFont="1" applyFill="1" applyBorder="1" applyAlignment="1">
      <alignment horizontal="center" vertical="center"/>
    </xf>
    <xf numFmtId="2" fontId="18" fillId="0" borderId="0" xfId="2" applyNumberFormat="1" applyFont="1" applyFill="1"/>
    <xf numFmtId="0" fontId="17" fillId="0" borderId="0" xfId="2" applyFont="1" applyFill="1"/>
    <xf numFmtId="0" fontId="12" fillId="0" borderId="19" xfId="2" applyFont="1" applyFill="1" applyBorder="1" applyAlignment="1">
      <alignment horizontal="left" vertical="center"/>
    </xf>
    <xf numFmtId="0" fontId="12" fillId="0" borderId="20" xfId="2" applyFont="1" applyFill="1" applyBorder="1" applyAlignment="1">
      <alignment horizontal="left" vertical="center" wrapText="1"/>
    </xf>
    <xf numFmtId="1" fontId="12" fillId="0" borderId="20" xfId="2" applyNumberFormat="1" applyFont="1" applyFill="1" applyBorder="1" applyAlignment="1">
      <alignment horizontal="center" vertical="center"/>
    </xf>
    <xf numFmtId="1" fontId="12" fillId="0" borderId="21" xfId="2" applyNumberFormat="1" applyFont="1" applyFill="1" applyBorder="1" applyAlignment="1">
      <alignment horizontal="center" vertical="center"/>
    </xf>
    <xf numFmtId="0" fontId="18" fillId="0" borderId="0" xfId="2" applyFont="1" applyFill="1"/>
    <xf numFmtId="0" fontId="12" fillId="0" borderId="5" xfId="2" applyFont="1" applyFill="1" applyBorder="1" applyAlignment="1">
      <alignment horizontal="left" vertical="center"/>
    </xf>
    <xf numFmtId="0" fontId="12" fillId="0" borderId="1" xfId="2" applyFont="1" applyFill="1" applyBorder="1" applyAlignment="1">
      <alignment horizontal="left" vertical="center" wrapText="1"/>
    </xf>
    <xf numFmtId="1" fontId="12" fillId="0" borderId="1" xfId="2" applyNumberFormat="1" applyFont="1" applyFill="1" applyBorder="1" applyAlignment="1">
      <alignment horizontal="center" vertical="center"/>
    </xf>
    <xf numFmtId="1" fontId="12" fillId="0" borderId="6" xfId="2" applyNumberFormat="1" applyFont="1" applyFill="1" applyBorder="1" applyAlignment="1">
      <alignment horizontal="center" vertical="center"/>
    </xf>
    <xf numFmtId="0" fontId="8" fillId="0" borderId="5" xfId="2" applyFont="1" applyFill="1" applyBorder="1" applyAlignment="1">
      <alignment horizontal="left" vertical="center"/>
    </xf>
    <xf numFmtId="0" fontId="8" fillId="0" borderId="1" xfId="2" applyFont="1" applyFill="1" applyBorder="1" applyAlignment="1">
      <alignment horizontal="left" vertical="center" wrapText="1"/>
    </xf>
    <xf numFmtId="1" fontId="8" fillId="0" borderId="1" xfId="2" applyNumberFormat="1" applyFont="1" applyFill="1" applyBorder="1" applyAlignment="1">
      <alignment horizontal="center" vertical="center"/>
    </xf>
    <xf numFmtId="1" fontId="8" fillId="0" borderId="6" xfId="2" applyNumberFormat="1" applyFont="1" applyFill="1" applyBorder="1" applyAlignment="1">
      <alignment horizontal="center" vertical="center"/>
    </xf>
    <xf numFmtId="1" fontId="20" fillId="0" borderId="0" xfId="2" applyNumberFormat="1" applyFont="1" applyFill="1"/>
    <xf numFmtId="0" fontId="15" fillId="0" borderId="0" xfId="2" applyFill="1"/>
    <xf numFmtId="0" fontId="20" fillId="0" borderId="0" xfId="2" applyFont="1" applyFill="1"/>
    <xf numFmtId="1" fontId="8" fillId="2" borderId="1" xfId="2" applyNumberFormat="1" applyFont="1" applyFill="1" applyBorder="1" applyAlignment="1">
      <alignment horizontal="center" vertical="center"/>
    </xf>
    <xf numFmtId="0" fontId="21" fillId="0" borderId="0" xfId="2" applyFont="1" applyFill="1"/>
    <xf numFmtId="0" fontId="22" fillId="0" borderId="0" xfId="2" applyFont="1" applyFill="1"/>
    <xf numFmtId="0" fontId="8" fillId="0" borderId="1" xfId="2" applyFont="1" applyFill="1" applyBorder="1" applyAlignment="1">
      <alignment wrapText="1"/>
    </xf>
    <xf numFmtId="0" fontId="12" fillId="0" borderId="22" xfId="1" applyFont="1" applyFill="1" applyBorder="1" applyAlignment="1">
      <alignment horizontal="left" vertical="center"/>
    </xf>
    <xf numFmtId="0" fontId="23" fillId="0" borderId="23" xfId="2" applyFont="1" applyFill="1" applyBorder="1" applyAlignment="1">
      <alignment horizontal="left" vertical="center"/>
    </xf>
    <xf numFmtId="0" fontId="19" fillId="0" borderId="0" xfId="1" applyFont="1" applyAlignment="1">
      <alignment wrapText="1"/>
    </xf>
    <xf numFmtId="0" fontId="24" fillId="0" borderId="0" xfId="1" applyFont="1"/>
    <xf numFmtId="0" fontId="26" fillId="0" borderId="0" xfId="1" applyFont="1"/>
    <xf numFmtId="1" fontId="26" fillId="0" borderId="0" xfId="1" applyNumberFormat="1" applyFont="1"/>
    <xf numFmtId="1" fontId="7" fillId="0" borderId="0" xfId="1" applyNumberFormat="1"/>
    <xf numFmtId="0" fontId="7" fillId="0" borderId="0" xfId="1" applyAlignment="1">
      <alignment wrapText="1"/>
    </xf>
    <xf numFmtId="0" fontId="44" fillId="0" borderId="0" xfId="2" applyFont="1" applyAlignment="1">
      <alignment vertical="center"/>
    </xf>
    <xf numFmtId="0" fontId="44" fillId="0" borderId="0" xfId="2" applyFont="1" applyAlignment="1">
      <alignment horizontal="left" vertical="center"/>
    </xf>
    <xf numFmtId="0" fontId="45" fillId="0" borderId="0" xfId="2" applyFont="1" applyAlignment="1">
      <alignment vertical="center"/>
    </xf>
    <xf numFmtId="0" fontId="44" fillId="0" borderId="0" xfId="2" applyFont="1" applyAlignment="1">
      <alignment horizontal="left"/>
    </xf>
    <xf numFmtId="0" fontId="46" fillId="0" borderId="0" xfId="2" applyFont="1" applyAlignment="1">
      <alignment vertical="center"/>
    </xf>
    <xf numFmtId="0" fontId="47" fillId="0" borderId="0" xfId="2" applyFont="1" applyAlignment="1">
      <alignment horizontal="center" vertical="center"/>
    </xf>
    <xf numFmtId="0" fontId="47" fillId="0" borderId="0" xfId="2" applyFont="1" applyAlignment="1">
      <alignment vertical="center"/>
    </xf>
    <xf numFmtId="0" fontId="48" fillId="0" borderId="0" xfId="2" applyFont="1" applyAlignment="1">
      <alignment vertical="center"/>
    </xf>
    <xf numFmtId="0" fontId="48" fillId="0" borderId="0" xfId="2" applyFont="1" applyAlignment="1">
      <alignment horizontal="left" vertical="center"/>
    </xf>
    <xf numFmtId="0" fontId="49" fillId="0" borderId="0" xfId="2" applyFont="1" applyAlignment="1">
      <alignment vertical="center"/>
    </xf>
    <xf numFmtId="0" fontId="50" fillId="0" borderId="0" xfId="2" applyFont="1" applyAlignment="1">
      <alignment vertical="center"/>
    </xf>
    <xf numFmtId="0" fontId="46" fillId="0" borderId="38" xfId="2" applyFont="1" applyBorder="1" applyAlignment="1">
      <alignment horizontal="center" vertical="center" wrapText="1"/>
    </xf>
    <xf numFmtId="0" fontId="46" fillId="0" borderId="39" xfId="2" applyFont="1" applyBorder="1" applyAlignment="1">
      <alignment horizontal="center" vertical="center" wrapText="1"/>
    </xf>
    <xf numFmtId="0" fontId="47" fillId="0" borderId="0" xfId="2" applyFont="1" applyBorder="1" applyAlignment="1">
      <alignment horizontal="center" vertical="center" wrapText="1"/>
    </xf>
    <xf numFmtId="0" fontId="46" fillId="0" borderId="38" xfId="2" applyFont="1" applyBorder="1" applyAlignment="1">
      <alignment horizontal="center" vertical="distributed" wrapText="1"/>
    </xf>
    <xf numFmtId="0" fontId="46" fillId="0" borderId="43" xfId="2" applyFont="1" applyBorder="1" applyAlignment="1">
      <alignment horizontal="center" vertical="top" wrapText="1"/>
    </xf>
    <xf numFmtId="0" fontId="46" fillId="0" borderId="44" xfId="2" applyFont="1" applyBorder="1" applyAlignment="1">
      <alignment horizontal="left" vertical="top" wrapText="1"/>
    </xf>
    <xf numFmtId="0" fontId="50" fillId="0" borderId="0" xfId="2" applyFont="1" applyBorder="1" applyAlignment="1">
      <alignment horizontal="center" vertical="center" wrapText="1"/>
    </xf>
    <xf numFmtId="0" fontId="51" fillId="0" borderId="43" xfId="2" applyFont="1" applyBorder="1" applyAlignment="1">
      <alignment horizontal="center" vertical="top" wrapText="1"/>
    </xf>
    <xf numFmtId="0" fontId="51" fillId="0" borderId="44" xfId="2" applyFont="1" applyBorder="1" applyAlignment="1">
      <alignment horizontal="left" vertical="top" wrapText="1"/>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0" xfId="2" applyFont="1" applyBorder="1" applyAlignment="1">
      <alignment horizontal="center" vertical="center" wrapText="1"/>
    </xf>
    <xf numFmtId="0" fontId="53" fillId="0" borderId="0" xfId="2" applyFont="1" applyAlignment="1">
      <alignment vertical="center"/>
    </xf>
    <xf numFmtId="0" fontId="54" fillId="0" borderId="43" xfId="2" applyFont="1" applyBorder="1" applyAlignment="1">
      <alignment horizontal="center" vertical="top" wrapText="1"/>
    </xf>
    <xf numFmtId="0" fontId="54" fillId="0" borderId="44" xfId="2" applyFont="1" applyBorder="1" applyAlignment="1">
      <alignment horizontal="left" vertical="top" wrapText="1"/>
    </xf>
    <xf numFmtId="0" fontId="55" fillId="0" borderId="0" xfId="2" applyFont="1" applyBorder="1" applyAlignment="1">
      <alignment horizontal="center" vertical="center" wrapText="1"/>
    </xf>
    <xf numFmtId="0" fontId="55" fillId="0" borderId="0" xfId="2" applyFont="1" applyAlignment="1">
      <alignment vertical="center"/>
    </xf>
    <xf numFmtId="0" fontId="48" fillId="0" borderId="47" xfId="2" applyFont="1" applyBorder="1" applyAlignment="1">
      <alignment horizontal="center" vertical="top" wrapText="1"/>
    </xf>
    <xf numFmtId="0" fontId="48" fillId="0" borderId="47" xfId="2" applyFont="1" applyBorder="1" applyAlignment="1">
      <alignment horizontal="left" vertical="top" wrapText="1"/>
    </xf>
    <xf numFmtId="0" fontId="54" fillId="0" borderId="47" xfId="2" applyFont="1" applyBorder="1" applyAlignment="1">
      <alignment horizontal="center" vertical="top" wrapText="1"/>
    </xf>
    <xf numFmtId="167" fontId="50" fillId="0" borderId="0" xfId="2" applyNumberFormat="1" applyFont="1" applyBorder="1" applyAlignment="1">
      <alignment horizontal="center" vertical="center" wrapText="1"/>
    </xf>
    <xf numFmtId="167" fontId="53" fillId="0" borderId="0" xfId="2" applyNumberFormat="1" applyFont="1" applyBorder="1" applyAlignment="1">
      <alignment horizontal="center" vertical="center" wrapText="1"/>
    </xf>
    <xf numFmtId="0" fontId="48" fillId="0" borderId="47" xfId="2" applyFont="1" applyFill="1" applyBorder="1" applyAlignment="1">
      <alignment horizontal="center" vertical="top" wrapText="1"/>
    </xf>
    <xf numFmtId="0" fontId="48" fillId="0" borderId="47" xfId="2" applyFont="1" applyFill="1" applyBorder="1" applyAlignment="1">
      <alignment horizontal="left" vertical="top" wrapText="1"/>
    </xf>
    <xf numFmtId="167" fontId="53" fillId="0" borderId="0" xfId="2" applyNumberFormat="1" applyFont="1" applyFill="1" applyBorder="1" applyAlignment="1">
      <alignment horizontal="center" vertical="center" wrapText="1"/>
    </xf>
    <xf numFmtId="0" fontId="50" fillId="0" borderId="0" xfId="2" applyFont="1" applyFill="1" applyAlignment="1">
      <alignment vertical="center"/>
    </xf>
    <xf numFmtId="0" fontId="54" fillId="0" borderId="48" xfId="2" applyFont="1" applyFill="1" applyBorder="1" applyAlignment="1">
      <alignment horizontal="center" vertical="top" wrapText="1"/>
    </xf>
    <xf numFmtId="0" fontId="54" fillId="0" borderId="47" xfId="2" applyFont="1" applyFill="1" applyBorder="1" applyAlignment="1">
      <alignment horizontal="left" vertical="top" wrapText="1"/>
    </xf>
    <xf numFmtId="0" fontId="54" fillId="0" borderId="51" xfId="2" applyFont="1" applyFill="1" applyBorder="1" applyAlignment="1">
      <alignment horizontal="center" vertical="top" wrapText="1"/>
    </xf>
    <xf numFmtId="0" fontId="54" fillId="0" borderId="52" xfId="2" applyFont="1" applyFill="1" applyBorder="1" applyAlignment="1">
      <alignment horizontal="left" vertical="top" wrapText="1"/>
    </xf>
    <xf numFmtId="165" fontId="56" fillId="0" borderId="0" xfId="2" applyNumberFormat="1" applyFont="1" applyFill="1" applyAlignment="1">
      <alignment vertical="center"/>
    </xf>
    <xf numFmtId="0" fontId="53" fillId="0" borderId="0" xfId="2" applyFont="1" applyFill="1" applyAlignment="1">
      <alignment vertical="center"/>
    </xf>
    <xf numFmtId="0" fontId="46" fillId="0" borderId="40" xfId="2" applyFont="1" applyBorder="1" applyAlignment="1">
      <alignment horizontal="center" vertical="top" wrapText="1"/>
    </xf>
    <xf numFmtId="0" fontId="46" fillId="0" borderId="38" xfId="2" applyFont="1" applyBorder="1" applyAlignment="1">
      <alignment horizontal="left" vertical="top" wrapText="1"/>
    </xf>
    <xf numFmtId="0" fontId="57" fillId="0" borderId="0" xfId="2" applyFont="1" applyBorder="1" applyAlignment="1">
      <alignment horizontal="center" vertical="center" wrapText="1"/>
    </xf>
    <xf numFmtId="0" fontId="57" fillId="0" borderId="0" xfId="2" applyFont="1" applyAlignment="1">
      <alignment vertical="center"/>
    </xf>
    <xf numFmtId="49" fontId="51" fillId="0" borderId="48" xfId="2" applyNumberFormat="1" applyFont="1" applyBorder="1" applyAlignment="1">
      <alignment horizontal="center" vertical="top"/>
    </xf>
    <xf numFmtId="0" fontId="51" fillId="0" borderId="47" xfId="2" applyFont="1" applyBorder="1" applyAlignment="1">
      <alignment horizontal="left" vertical="top" wrapText="1"/>
    </xf>
    <xf numFmtId="168" fontId="52" fillId="0" borderId="0" xfId="2" applyNumberFormat="1" applyFont="1" applyBorder="1" applyAlignment="1">
      <alignment horizontal="right" vertical="center"/>
    </xf>
    <xf numFmtId="168" fontId="53" fillId="0" borderId="0" xfId="2" applyNumberFormat="1" applyFont="1" applyBorder="1" applyAlignment="1">
      <alignment horizontal="right" vertical="center"/>
    </xf>
    <xf numFmtId="49" fontId="54" fillId="0" borderId="48" xfId="2" applyNumberFormat="1" applyFont="1" applyBorder="1" applyAlignment="1">
      <alignment horizontal="center" vertical="top"/>
    </xf>
    <xf numFmtId="168" fontId="55" fillId="0" borderId="0" xfId="2" applyNumberFormat="1" applyFont="1" applyBorder="1" applyAlignment="1">
      <alignment horizontal="right" vertical="center"/>
    </xf>
    <xf numFmtId="49" fontId="48" fillId="0" borderId="48" xfId="2" applyNumberFormat="1" applyFont="1" applyBorder="1" applyAlignment="1">
      <alignment horizontal="center" vertical="top"/>
    </xf>
    <xf numFmtId="168" fontId="50" fillId="0" borderId="0" xfId="2" applyNumberFormat="1" applyFont="1" applyBorder="1" applyAlignment="1">
      <alignment vertical="center"/>
    </xf>
    <xf numFmtId="168" fontId="53" fillId="0" borderId="0" xfId="2" applyNumberFormat="1" applyFont="1" applyBorder="1" applyAlignment="1">
      <alignment vertical="center"/>
    </xf>
    <xf numFmtId="49" fontId="48" fillId="0" borderId="47" xfId="2" applyNumberFormat="1" applyFont="1" applyBorder="1" applyAlignment="1">
      <alignment horizontal="center" vertical="top"/>
    </xf>
    <xf numFmtId="168" fontId="49" fillId="0" borderId="0" xfId="2" applyNumberFormat="1" applyFont="1" applyBorder="1" applyAlignment="1">
      <alignment horizontal="right" vertical="center"/>
    </xf>
    <xf numFmtId="49" fontId="54" fillId="0" borderId="47" xfId="2" applyNumberFormat="1" applyFont="1" applyBorder="1" applyAlignment="1">
      <alignment horizontal="center" vertical="top"/>
    </xf>
    <xf numFmtId="168" fontId="58" fillId="0" borderId="0" xfId="2" applyNumberFormat="1" applyFont="1" applyBorder="1" applyAlignment="1">
      <alignment horizontal="right" vertical="center"/>
    </xf>
    <xf numFmtId="0" fontId="58" fillId="0" borderId="0" xfId="2" applyFont="1" applyAlignment="1">
      <alignment vertical="center"/>
    </xf>
    <xf numFmtId="0" fontId="59" fillId="0" borderId="0" xfId="2" applyFont="1" applyAlignment="1">
      <alignment vertical="center"/>
    </xf>
    <xf numFmtId="49" fontId="49" fillId="0" borderId="0" xfId="2" applyNumberFormat="1" applyFont="1" applyAlignment="1">
      <alignment horizontal="center" vertical="center"/>
    </xf>
    <xf numFmtId="0" fontId="49" fillId="0" borderId="0" xfId="2" applyFont="1" applyAlignment="1">
      <alignment horizontal="left" vertical="center" wrapText="1"/>
    </xf>
    <xf numFmtId="0" fontId="52" fillId="0" borderId="0" xfId="2" applyFont="1" applyAlignment="1">
      <alignment vertical="center" wrapText="1"/>
    </xf>
    <xf numFmtId="0" fontId="49" fillId="0" borderId="0" xfId="2" applyFont="1" applyAlignment="1">
      <alignment horizontal="left" vertical="center"/>
    </xf>
    <xf numFmtId="0" fontId="20" fillId="0" borderId="0" xfId="56" applyNumberFormat="1" applyFont="1" applyFill="1" applyAlignment="1" applyProtection="1"/>
    <xf numFmtId="0" fontId="20" fillId="0" borderId="0" xfId="56" applyNumberFormat="1" applyFont="1" applyFill="1" applyBorder="1" applyAlignment="1" applyProtection="1"/>
    <xf numFmtId="0" fontId="60" fillId="0" borderId="0" xfId="56" applyNumberFormat="1" applyFont="1" applyFill="1" applyBorder="1" applyAlignment="1" applyProtection="1"/>
    <xf numFmtId="0" fontId="20" fillId="0" borderId="0" xfId="56" applyFont="1" applyFill="1" applyBorder="1"/>
    <xf numFmtId="0" fontId="20" fillId="0" borderId="0" xfId="56" applyFont="1" applyFill="1"/>
    <xf numFmtId="0" fontId="16" fillId="0" borderId="0" xfId="1" applyFont="1" applyAlignment="1"/>
    <xf numFmtId="0" fontId="62" fillId="0" borderId="0" xfId="56" applyNumberFormat="1" applyFont="1" applyFill="1" applyBorder="1" applyAlignment="1" applyProtection="1">
      <alignment horizontal="left" vertical="top" wrapText="1"/>
    </xf>
    <xf numFmtId="0" fontId="20" fillId="2" borderId="54" xfId="56" applyNumberFormat="1" applyFont="1" applyFill="1" applyBorder="1" applyAlignment="1" applyProtection="1"/>
    <xf numFmtId="0" fontId="20" fillId="2" borderId="0" xfId="56" applyFont="1" applyFill="1"/>
    <xf numFmtId="0" fontId="20" fillId="2" borderId="55" xfId="56" applyNumberFormat="1" applyFont="1" applyFill="1" applyBorder="1" applyAlignment="1" applyProtection="1"/>
    <xf numFmtId="0" fontId="20" fillId="2" borderId="0" xfId="56" applyNumberFormat="1" applyFont="1" applyFill="1" applyBorder="1" applyAlignment="1" applyProtection="1"/>
    <xf numFmtId="0" fontId="67" fillId="2" borderId="13" xfId="56" applyNumberFormat="1" applyFont="1" applyFill="1" applyBorder="1" applyAlignment="1" applyProtection="1">
      <alignment horizontal="center" vertical="center" wrapText="1"/>
    </xf>
    <xf numFmtId="0" fontId="20" fillId="2" borderId="0" xfId="56" applyNumberFormat="1" applyFont="1" applyFill="1" applyAlignment="1" applyProtection="1">
      <alignment vertical="center"/>
    </xf>
    <xf numFmtId="49" fontId="69" fillId="0" borderId="16" xfId="56" applyNumberFormat="1" applyFont="1" applyFill="1" applyBorder="1" applyAlignment="1">
      <alignment horizontal="center" vertical="center" wrapText="1"/>
    </xf>
    <xf numFmtId="49" fontId="69" fillId="0" borderId="17" xfId="56" applyNumberFormat="1" applyFont="1" applyFill="1" applyBorder="1" applyAlignment="1">
      <alignment horizontal="center" vertical="center" wrapText="1"/>
    </xf>
    <xf numFmtId="1" fontId="70" fillId="0" borderId="17" xfId="49" applyNumberFormat="1" applyFont="1" applyFill="1" applyBorder="1" applyAlignment="1">
      <alignment vertical="center"/>
    </xf>
    <xf numFmtId="1" fontId="69" fillId="0" borderId="17" xfId="49" applyNumberFormat="1" applyFont="1" applyFill="1" applyBorder="1" applyAlignment="1">
      <alignment vertical="center"/>
    </xf>
    <xf numFmtId="0" fontId="20" fillId="2" borderId="0" xfId="56" applyFont="1" applyFill="1" applyAlignment="1">
      <alignment vertical="center"/>
    </xf>
    <xf numFmtId="49" fontId="62" fillId="2" borderId="19" xfId="56" applyNumberFormat="1" applyFont="1" applyFill="1" applyBorder="1" applyAlignment="1">
      <alignment horizontal="center" vertical="center" wrapText="1"/>
    </xf>
    <xf numFmtId="49" fontId="62" fillId="2" borderId="20" xfId="56" applyNumberFormat="1" applyFont="1" applyFill="1" applyBorder="1" applyAlignment="1">
      <alignment horizontal="center" vertical="center" wrapText="1"/>
    </xf>
    <xf numFmtId="1" fontId="12" fillId="2" borderId="20" xfId="49" applyNumberFormat="1" applyFont="1" applyFill="1" applyBorder="1" applyAlignment="1">
      <alignment horizontal="center" vertical="center"/>
    </xf>
    <xf numFmtId="0" fontId="20" fillId="2" borderId="0" xfId="56" applyNumberFormat="1" applyFont="1" applyFill="1" applyAlignment="1" applyProtection="1"/>
    <xf numFmtId="49" fontId="62" fillId="2" borderId="5" xfId="56" applyNumberFormat="1" applyFont="1" applyFill="1" applyBorder="1" applyAlignment="1">
      <alignment horizontal="center" vertical="center" wrapText="1"/>
    </xf>
    <xf numFmtId="49" fontId="62" fillId="2" borderId="1" xfId="56" applyNumberFormat="1" applyFont="1" applyFill="1" applyBorder="1" applyAlignment="1">
      <alignment horizontal="center" vertical="center" wrapText="1"/>
    </xf>
    <xf numFmtId="1" fontId="12" fillId="2" borderId="1" xfId="49" applyNumberFormat="1" applyFont="1" applyFill="1" applyBorder="1" applyAlignment="1">
      <alignment horizontal="center" vertical="center"/>
    </xf>
    <xf numFmtId="0" fontId="16" fillId="2" borderId="1" xfId="2" applyFont="1" applyFill="1" applyBorder="1" applyAlignment="1">
      <alignment horizontal="left" vertical="center" wrapText="1"/>
    </xf>
    <xf numFmtId="1" fontId="8" fillId="2" borderId="1" xfId="49" applyNumberFormat="1" applyFont="1" applyFill="1" applyBorder="1" applyAlignment="1">
      <alignment horizontal="center" vertical="center"/>
    </xf>
    <xf numFmtId="1" fontId="71" fillId="2" borderId="1" xfId="49" applyNumberFormat="1" applyFont="1" applyFill="1" applyBorder="1" applyAlignment="1">
      <alignment horizontal="center" vertical="center"/>
    </xf>
    <xf numFmtId="1" fontId="8" fillId="2" borderId="6" xfId="49" applyNumberFormat="1" applyFont="1" applyFill="1" applyBorder="1" applyAlignment="1">
      <alignment horizontal="center" vertical="center"/>
    </xf>
    <xf numFmtId="1" fontId="12" fillId="2" borderId="6" xfId="49" applyNumberFormat="1" applyFont="1" applyFill="1" applyBorder="1" applyAlignment="1">
      <alignment horizontal="center" vertical="center"/>
    </xf>
    <xf numFmtId="1" fontId="16" fillId="2" borderId="1" xfId="49" applyNumberFormat="1" applyFont="1" applyFill="1" applyBorder="1" applyAlignment="1">
      <alignment horizontal="center" vertical="center"/>
    </xf>
    <xf numFmtId="49" fontId="16" fillId="2" borderId="1" xfId="56" applyNumberFormat="1" applyFont="1" applyFill="1" applyBorder="1" applyAlignment="1">
      <alignment horizontal="center" vertical="center" wrapText="1"/>
    </xf>
    <xf numFmtId="1" fontId="72" fillId="2" borderId="1" xfId="49" applyNumberFormat="1" applyFont="1" applyFill="1" applyBorder="1" applyAlignment="1">
      <alignment horizontal="center" vertical="center"/>
    </xf>
    <xf numFmtId="49" fontId="16" fillId="3" borderId="1" xfId="56" applyNumberFormat="1" applyFont="1" applyFill="1" applyBorder="1" applyAlignment="1">
      <alignment horizontal="center" vertical="center" wrapText="1"/>
    </xf>
    <xf numFmtId="1" fontId="8" fillId="3" borderId="1" xfId="49" applyNumberFormat="1" applyFont="1" applyFill="1" applyBorder="1" applyAlignment="1">
      <alignment horizontal="center" vertical="center"/>
    </xf>
    <xf numFmtId="49" fontId="62" fillId="0" borderId="5" xfId="56" applyNumberFormat="1" applyFont="1" applyFill="1" applyBorder="1" applyAlignment="1">
      <alignment horizontal="center" vertical="center" wrapText="1"/>
    </xf>
    <xf numFmtId="49" fontId="16" fillId="0" borderId="1" xfId="56" applyNumberFormat="1" applyFont="1" applyFill="1" applyBorder="1" applyAlignment="1">
      <alignment horizontal="center" vertical="center" wrapText="1"/>
    </xf>
    <xf numFmtId="1" fontId="12" fillId="0" borderId="1" xfId="49" applyNumberFormat="1" applyFont="1" applyFill="1" applyBorder="1" applyAlignment="1">
      <alignment horizontal="center" vertical="center"/>
    </xf>
    <xf numFmtId="1" fontId="16" fillId="0" borderId="1" xfId="49" applyNumberFormat="1" applyFont="1" applyFill="1" applyBorder="1" applyAlignment="1">
      <alignment horizontal="center" vertical="center"/>
    </xf>
    <xf numFmtId="49" fontId="16" fillId="0" borderId="5" xfId="56" applyNumberFormat="1" applyFont="1" applyFill="1" applyBorder="1" applyAlignment="1">
      <alignment horizontal="center" vertical="center" wrapText="1"/>
    </xf>
    <xf numFmtId="1" fontId="62" fillId="2" borderId="1" xfId="49" applyNumberFormat="1" applyFont="1" applyFill="1" applyBorder="1" applyAlignment="1">
      <alignment horizontal="center" vertical="center"/>
    </xf>
    <xf numFmtId="1" fontId="62" fillId="0" borderId="1" xfId="49" applyNumberFormat="1" applyFont="1" applyFill="1" applyBorder="1" applyAlignment="1">
      <alignment horizontal="center" vertical="center"/>
    </xf>
    <xf numFmtId="49" fontId="16" fillId="0" borderId="5" xfId="2" applyNumberFormat="1" applyFont="1" applyFill="1" applyBorder="1" applyAlignment="1">
      <alignment horizontal="center" vertical="center" wrapText="1"/>
    </xf>
    <xf numFmtId="1" fontId="8" fillId="0" borderId="1" xfId="49" applyNumberFormat="1" applyFont="1" applyFill="1" applyBorder="1" applyAlignment="1">
      <alignment horizontal="center" vertical="center"/>
    </xf>
    <xf numFmtId="49" fontId="16" fillId="2" borderId="5" xfId="2" applyNumberFormat="1" applyFont="1" applyFill="1" applyBorder="1" applyAlignment="1">
      <alignment horizontal="center" vertical="center" wrapText="1"/>
    </xf>
    <xf numFmtId="1" fontId="8" fillId="2" borderId="12" xfId="49" applyNumberFormat="1" applyFont="1" applyFill="1" applyBorder="1" applyAlignment="1">
      <alignment horizontal="center" vertical="center"/>
    </xf>
    <xf numFmtId="49" fontId="62" fillId="2" borderId="5" xfId="2" applyNumberFormat="1" applyFont="1" applyFill="1" applyBorder="1" applyAlignment="1">
      <alignment horizontal="center" vertical="center" wrapText="1"/>
    </xf>
    <xf numFmtId="49" fontId="16" fillId="2" borderId="22" xfId="2" applyNumberFormat="1" applyFont="1" applyFill="1" applyBorder="1" applyAlignment="1">
      <alignment horizontal="center" vertical="center" wrapText="1"/>
    </xf>
    <xf numFmtId="49" fontId="16" fillId="2" borderId="1" xfId="2" applyNumberFormat="1" applyFont="1" applyFill="1" applyBorder="1" applyAlignment="1">
      <alignment horizontal="center" vertical="center" wrapText="1"/>
    </xf>
    <xf numFmtId="49" fontId="62" fillId="2" borderId="1" xfId="2" applyNumberFormat="1" applyFont="1" applyFill="1" applyBorder="1" applyAlignment="1">
      <alignment horizontal="center" vertical="center" wrapText="1"/>
    </xf>
    <xf numFmtId="1" fontId="73" fillId="2" borderId="1" xfId="1" applyNumberFormat="1" applyFont="1" applyFill="1" applyBorder="1" applyAlignment="1">
      <alignment horizontal="center" vertical="center"/>
    </xf>
    <xf numFmtId="49" fontId="72" fillId="2" borderId="5" xfId="56" applyNumberFormat="1" applyFont="1" applyFill="1" applyBorder="1" applyAlignment="1">
      <alignment horizontal="center" vertical="center" wrapText="1"/>
    </xf>
    <xf numFmtId="49" fontId="72" fillId="3" borderId="5" xfId="56" applyNumberFormat="1" applyFont="1" applyFill="1" applyBorder="1" applyAlignment="1">
      <alignment horizontal="center" vertical="center" wrapText="1"/>
    </xf>
    <xf numFmtId="49" fontId="16" fillId="2" borderId="5" xfId="56" applyNumberFormat="1" applyFont="1" applyFill="1" applyBorder="1" applyAlignment="1">
      <alignment horizontal="center" vertical="center" wrapText="1"/>
    </xf>
    <xf numFmtId="49" fontId="16" fillId="2" borderId="12" xfId="2" applyNumberFormat="1" applyFont="1" applyFill="1" applyBorder="1" applyAlignment="1">
      <alignment horizontal="center" vertical="center" wrapText="1"/>
    </xf>
    <xf numFmtId="1" fontId="20" fillId="2" borderId="0" xfId="56" applyNumberFormat="1" applyFont="1" applyFill="1"/>
    <xf numFmtId="0" fontId="73" fillId="2" borderId="1" xfId="1" applyFont="1" applyFill="1" applyBorder="1" applyAlignment="1">
      <alignment horizontal="center" vertical="center"/>
    </xf>
    <xf numFmtId="49" fontId="16" fillId="0" borderId="1" xfId="2" applyNumberFormat="1" applyFont="1" applyFill="1" applyBorder="1" applyAlignment="1">
      <alignment horizontal="center" vertical="center" wrapText="1"/>
    </xf>
    <xf numFmtId="0" fontId="73" fillId="0" borderId="1" xfId="1" applyFont="1" applyFill="1" applyBorder="1" applyAlignment="1">
      <alignment horizontal="center" vertical="center"/>
    </xf>
    <xf numFmtId="1" fontId="72" fillId="0" borderId="1" xfId="49" applyNumberFormat="1" applyFont="1" applyFill="1" applyBorder="1" applyAlignment="1">
      <alignment horizontal="center" vertical="center"/>
    </xf>
    <xf numFmtId="1" fontId="12" fillId="2" borderId="12" xfId="49" applyNumberFormat="1" applyFont="1" applyFill="1" applyBorder="1" applyAlignment="1">
      <alignment horizontal="center" vertical="center"/>
    </xf>
    <xf numFmtId="1" fontId="72" fillId="2" borderId="12" xfId="49" applyNumberFormat="1" applyFont="1" applyFill="1" applyBorder="1" applyAlignment="1">
      <alignment horizontal="center" vertical="center"/>
    </xf>
    <xf numFmtId="49" fontId="62" fillId="2" borderId="22" xfId="2" applyNumberFormat="1" applyFont="1" applyFill="1" applyBorder="1" applyAlignment="1">
      <alignment horizontal="center" vertical="center" wrapText="1"/>
    </xf>
    <xf numFmtId="49" fontId="62" fillId="2" borderId="12" xfId="2" applyNumberFormat="1" applyFont="1" applyFill="1" applyBorder="1" applyAlignment="1">
      <alignment horizontal="center" vertical="center" wrapText="1"/>
    </xf>
    <xf numFmtId="1" fontId="71" fillId="2" borderId="12" xfId="49" applyNumberFormat="1" applyFont="1" applyFill="1" applyBorder="1" applyAlignment="1">
      <alignment horizontal="center" vertical="center"/>
    </xf>
    <xf numFmtId="0" fontId="16" fillId="2" borderId="16" xfId="56" applyFont="1" applyFill="1" applyBorder="1" applyAlignment="1">
      <alignment horizontal="center" vertical="center" wrapText="1"/>
    </xf>
    <xf numFmtId="49" fontId="16" fillId="2" borderId="17" xfId="56" applyNumberFormat="1" applyFont="1" applyFill="1" applyBorder="1" applyAlignment="1">
      <alignment horizontal="center" vertical="center" wrapText="1"/>
    </xf>
    <xf numFmtId="1" fontId="12" fillId="2" borderId="17" xfId="56" applyNumberFormat="1" applyFont="1" applyFill="1" applyBorder="1" applyAlignment="1">
      <alignment horizontal="center" vertical="center"/>
    </xf>
    <xf numFmtId="166" fontId="20" fillId="2" borderId="0" xfId="56" applyNumberFormat="1" applyFont="1" applyFill="1" applyAlignment="1" applyProtection="1"/>
    <xf numFmtId="1" fontId="20" fillId="0" borderId="0" xfId="56" applyNumberFormat="1" applyFont="1" applyFill="1" applyAlignment="1" applyProtection="1"/>
    <xf numFmtId="1" fontId="60" fillId="0" borderId="0" xfId="56" applyNumberFormat="1" applyFont="1" applyFill="1" applyAlignment="1" applyProtection="1"/>
    <xf numFmtId="0" fontId="60" fillId="0" borderId="0" xfId="56" applyNumberFormat="1" applyFont="1" applyFill="1" applyAlignment="1" applyProtection="1"/>
    <xf numFmtId="0" fontId="15" fillId="0" borderId="0" xfId="2"/>
    <xf numFmtId="0" fontId="16" fillId="0" borderId="0" xfId="2" applyFont="1"/>
    <xf numFmtId="0" fontId="8" fillId="0" borderId="39" xfId="2" applyFont="1" applyBorder="1" applyAlignment="1">
      <alignment horizontal="center" vertical="center" textRotation="90" wrapText="1"/>
    </xf>
    <xf numFmtId="0" fontId="8" fillId="0" borderId="36" xfId="2" applyFont="1" applyBorder="1" applyAlignment="1">
      <alignment horizontal="center" vertical="center" wrapText="1"/>
    </xf>
    <xf numFmtId="0" fontId="8" fillId="0" borderId="39" xfId="2" applyFont="1" applyBorder="1" applyAlignment="1">
      <alignment horizontal="center" vertical="center" wrapText="1"/>
    </xf>
    <xf numFmtId="0" fontId="12" fillId="0" borderId="39" xfId="2" applyFont="1" applyBorder="1" applyAlignment="1">
      <alignment vertical="center" wrapText="1"/>
    </xf>
    <xf numFmtId="0" fontId="16" fillId="0" borderId="0" xfId="2" applyFont="1" applyFill="1" applyAlignment="1"/>
    <xf numFmtId="0" fontId="16" fillId="0" borderId="0" xfId="2" applyFont="1" applyFill="1"/>
    <xf numFmtId="0" fontId="16" fillId="0" borderId="0" xfId="2" applyFont="1" applyFill="1" applyAlignment="1">
      <alignment horizontal="right"/>
    </xf>
    <xf numFmtId="0" fontId="8" fillId="0" borderId="0" xfId="2" applyFont="1" applyFill="1" applyAlignment="1">
      <alignment horizontal="left"/>
    </xf>
    <xf numFmtId="0" fontId="49" fillId="0" borderId="0" xfId="2" applyFont="1" applyFill="1" applyAlignment="1">
      <alignment vertical="center"/>
    </xf>
    <xf numFmtId="49" fontId="76" fillId="0" borderId="0" xfId="2" applyNumberFormat="1" applyFont="1" applyFill="1" applyAlignment="1">
      <alignment vertical="center"/>
    </xf>
    <xf numFmtId="49" fontId="49" fillId="0" borderId="0" xfId="2" applyNumberFormat="1" applyFont="1" applyFill="1" applyAlignment="1">
      <alignment vertical="center"/>
    </xf>
    <xf numFmtId="0" fontId="49" fillId="0" borderId="0" xfId="2" applyFont="1" applyFill="1" applyAlignment="1">
      <alignment horizontal="justify" vertical="center"/>
    </xf>
    <xf numFmtId="166" fontId="49" fillId="0" borderId="0" xfId="2" applyNumberFormat="1" applyFont="1" applyFill="1" applyAlignment="1">
      <alignment vertical="center"/>
    </xf>
    <xf numFmtId="166" fontId="78" fillId="0" borderId="0" xfId="2" applyNumberFormat="1" applyFont="1" applyFill="1" applyAlignment="1">
      <alignment vertical="center"/>
    </xf>
    <xf numFmtId="0" fontId="77" fillId="0" borderId="0" xfId="1" applyFont="1" applyAlignment="1">
      <alignment horizontal="center"/>
    </xf>
    <xf numFmtId="0" fontId="77" fillId="0" borderId="0" xfId="1" applyFont="1" applyAlignment="1"/>
    <xf numFmtId="0" fontId="44" fillId="0" borderId="0" xfId="2" applyFont="1" applyFill="1" applyAlignment="1">
      <alignment vertical="center"/>
    </xf>
    <xf numFmtId="49" fontId="50" fillId="0" borderId="0" xfId="2" applyNumberFormat="1" applyFont="1" applyFill="1" applyAlignment="1">
      <alignment vertical="center"/>
    </xf>
    <xf numFmtId="0" fontId="44" fillId="0" borderId="0" xfId="2" applyFont="1" applyFill="1" applyAlignment="1">
      <alignment horizontal="justify" vertical="center"/>
    </xf>
    <xf numFmtId="0" fontId="79" fillId="0" borderId="0" xfId="2" applyFont="1" applyFill="1" applyAlignment="1">
      <alignment vertical="center" wrapText="1"/>
    </xf>
    <xf numFmtId="0" fontId="47" fillId="0" borderId="0" xfId="2" applyFont="1" applyFill="1" applyAlignment="1">
      <alignment vertical="center"/>
    </xf>
    <xf numFmtId="0" fontId="47" fillId="0" borderId="0" xfId="2" applyFont="1" applyFill="1" applyAlignment="1">
      <alignment horizontal="justify" vertical="center"/>
    </xf>
    <xf numFmtId="166" fontId="81" fillId="0" borderId="0" xfId="2" applyNumberFormat="1" applyFont="1" applyFill="1" applyAlignment="1">
      <alignment horizontal="right" vertical="center"/>
    </xf>
    <xf numFmtId="0" fontId="45" fillId="0" borderId="0" xfId="2" applyFont="1" applyFill="1" applyAlignment="1">
      <alignment vertical="center"/>
    </xf>
    <xf numFmtId="0" fontId="52" fillId="0" borderId="0" xfId="2" applyFont="1" applyFill="1" applyAlignment="1">
      <alignment vertical="center"/>
    </xf>
    <xf numFmtId="2" fontId="81" fillId="0" borderId="46" xfId="2" applyNumberFormat="1" applyFont="1" applyFill="1" applyBorder="1" applyAlignment="1">
      <alignment horizontal="center" vertical="center" wrapText="1"/>
    </xf>
    <xf numFmtId="165" fontId="81" fillId="0" borderId="44" xfId="2" applyNumberFormat="1" applyFont="1" applyFill="1" applyBorder="1" applyAlignment="1">
      <alignment horizontal="center" vertical="center"/>
    </xf>
    <xf numFmtId="49" fontId="81" fillId="0" borderId="47" xfId="2" applyNumberFormat="1" applyFont="1" applyFill="1" applyBorder="1" applyAlignment="1">
      <alignment horizontal="center" vertical="top"/>
    </xf>
    <xf numFmtId="0" fontId="81" fillId="0" borderId="49" xfId="2" applyFont="1" applyFill="1" applyBorder="1" applyAlignment="1">
      <alignment vertical="top" wrapText="1"/>
    </xf>
    <xf numFmtId="167" fontId="81" fillId="0" borderId="47" xfId="2" applyNumberFormat="1" applyFont="1" applyFill="1" applyBorder="1" applyAlignment="1">
      <alignment vertical="top" wrapText="1"/>
    </xf>
    <xf numFmtId="165" fontId="81" fillId="0" borderId="47" xfId="2" applyNumberFormat="1" applyFont="1" applyFill="1" applyBorder="1" applyAlignment="1">
      <alignment horizontal="right" vertical="top"/>
    </xf>
    <xf numFmtId="2" fontId="81" fillId="0" borderId="47" xfId="2" applyNumberFormat="1" applyFont="1" applyFill="1" applyBorder="1" applyAlignment="1">
      <alignment horizontal="center" vertical="center"/>
    </xf>
    <xf numFmtId="2" fontId="81" fillId="0" borderId="50" xfId="2" applyNumberFormat="1" applyFont="1" applyFill="1" applyBorder="1" applyAlignment="1">
      <alignment horizontal="center" vertical="center"/>
    </xf>
    <xf numFmtId="2" fontId="81" fillId="0" borderId="50" xfId="2" applyNumberFormat="1" applyFont="1" applyFill="1" applyBorder="1" applyAlignment="1">
      <alignment horizontal="center" vertical="center" wrapText="1"/>
    </xf>
    <xf numFmtId="4" fontId="81" fillId="0" borderId="47" xfId="2" applyNumberFormat="1" applyFont="1" applyFill="1" applyBorder="1" applyAlignment="1">
      <alignment horizontal="center" vertical="center"/>
    </xf>
    <xf numFmtId="165" fontId="81" fillId="0" borderId="47" xfId="2" applyNumberFormat="1" applyFont="1" applyFill="1" applyBorder="1" applyAlignment="1">
      <alignment horizontal="center" vertical="center"/>
    </xf>
    <xf numFmtId="49" fontId="81" fillId="0" borderId="64" xfId="2" applyNumberFormat="1" applyFont="1" applyFill="1" applyBorder="1" applyAlignment="1">
      <alignment horizontal="center" vertical="top"/>
    </xf>
    <xf numFmtId="167" fontId="81" fillId="0" borderId="64" xfId="2" applyNumberFormat="1" applyFont="1" applyFill="1" applyBorder="1" applyAlignment="1">
      <alignment vertical="top" wrapText="1"/>
    </xf>
    <xf numFmtId="165" fontId="81" fillId="0" borderId="65" xfId="2" applyNumberFormat="1" applyFont="1" applyFill="1" applyBorder="1" applyAlignment="1">
      <alignment horizontal="right" vertical="top"/>
    </xf>
    <xf numFmtId="2" fontId="81" fillId="0" borderId="64" xfId="2" applyNumberFormat="1" applyFont="1" applyFill="1" applyBorder="1" applyAlignment="1">
      <alignment horizontal="center" vertical="center"/>
    </xf>
    <xf numFmtId="2" fontId="81" fillId="0" borderId="66" xfId="2" applyNumberFormat="1" applyFont="1" applyFill="1" applyBorder="1" applyAlignment="1">
      <alignment horizontal="center" vertical="center"/>
    </xf>
    <xf numFmtId="165" fontId="81" fillId="0" borderId="64" xfId="2" applyNumberFormat="1" applyFont="1" applyFill="1" applyBorder="1" applyAlignment="1">
      <alignment horizontal="right" vertical="top"/>
    </xf>
    <xf numFmtId="165" fontId="81" fillId="0" borderId="64" xfId="2" applyNumberFormat="1" applyFont="1" applyFill="1" applyBorder="1" applyAlignment="1">
      <alignment horizontal="center" vertical="center"/>
    </xf>
    <xf numFmtId="49" fontId="81" fillId="0" borderId="49" xfId="2" applyNumberFormat="1" applyFont="1" applyFill="1" applyBorder="1" applyAlignment="1">
      <alignment horizontal="center" vertical="center"/>
    </xf>
    <xf numFmtId="166" fontId="81" fillId="0" borderId="47" xfId="2" applyNumberFormat="1" applyFont="1" applyFill="1" applyBorder="1" applyAlignment="1">
      <alignment horizontal="center" vertical="center"/>
    </xf>
    <xf numFmtId="165" fontId="81" fillId="0" borderId="49" xfId="2" applyNumberFormat="1" applyFont="1" applyFill="1" applyBorder="1" applyAlignment="1">
      <alignment horizontal="right" vertical="top"/>
    </xf>
    <xf numFmtId="166" fontId="81" fillId="0" borderId="47" xfId="2" applyNumberFormat="1" applyFont="1" applyFill="1" applyBorder="1" applyAlignment="1">
      <alignment horizontal="right" vertical="top"/>
    </xf>
    <xf numFmtId="49" fontId="81" fillId="0" borderId="1" xfId="2" applyNumberFormat="1" applyFont="1" applyFill="1" applyBorder="1" applyAlignment="1">
      <alignment horizontal="center" vertical="center"/>
    </xf>
    <xf numFmtId="2" fontId="81" fillId="0" borderId="1" xfId="2" applyNumberFormat="1" applyFont="1" applyFill="1" applyBorder="1" applyAlignment="1">
      <alignment horizontal="center" vertical="center" wrapText="1"/>
    </xf>
    <xf numFmtId="49" fontId="81" fillId="0" borderId="1" xfId="2" applyNumberFormat="1" applyFont="1" applyFill="1" applyBorder="1" applyAlignment="1">
      <alignment horizontal="center" vertical="center" wrapText="1"/>
    </xf>
    <xf numFmtId="165" fontId="81" fillId="0" borderId="1" xfId="2" applyNumberFormat="1" applyFont="1" applyFill="1" applyBorder="1" applyAlignment="1">
      <alignment horizontal="center" vertical="center"/>
    </xf>
    <xf numFmtId="166" fontId="81" fillId="0" borderId="6" xfId="2" applyNumberFormat="1" applyFont="1" applyFill="1" applyBorder="1" applyAlignment="1">
      <alignment horizontal="center" vertical="center"/>
    </xf>
    <xf numFmtId="166" fontId="81" fillId="0" borderId="49" xfId="2" applyNumberFormat="1" applyFont="1" applyFill="1" applyBorder="1" applyAlignment="1">
      <alignment horizontal="right" vertical="top"/>
    </xf>
    <xf numFmtId="167" fontId="81" fillId="0" borderId="49" xfId="2" applyNumberFormat="1" applyFont="1" applyFill="1" applyBorder="1" applyAlignment="1">
      <alignment vertical="top" wrapText="1"/>
    </xf>
    <xf numFmtId="165" fontId="81" fillId="0" borderId="50" xfId="2" applyNumberFormat="1" applyFont="1" applyFill="1" applyBorder="1" applyAlignment="1">
      <alignment horizontal="center" vertical="center"/>
    </xf>
    <xf numFmtId="167" fontId="81" fillId="0" borderId="65" xfId="2" applyNumberFormat="1" applyFont="1" applyFill="1" applyBorder="1" applyAlignment="1">
      <alignment vertical="top" wrapText="1"/>
    </xf>
    <xf numFmtId="166" fontId="81" fillId="0" borderId="64" xfId="2" applyNumberFormat="1" applyFont="1" applyFill="1" applyBorder="1" applyAlignment="1">
      <alignment horizontal="right" vertical="top"/>
    </xf>
    <xf numFmtId="49" fontId="58" fillId="0" borderId="44" xfId="2" applyNumberFormat="1" applyFont="1" applyFill="1" applyBorder="1" applyAlignment="1">
      <alignment horizontal="center" vertical="top"/>
    </xf>
    <xf numFmtId="49" fontId="81" fillId="0" borderId="44" xfId="2" applyNumberFormat="1" applyFont="1" applyFill="1" applyBorder="1" applyAlignment="1">
      <alignment horizontal="center" vertical="top"/>
    </xf>
    <xf numFmtId="167" fontId="58" fillId="0" borderId="44" xfId="2" applyNumberFormat="1" applyFont="1" applyFill="1" applyBorder="1" applyAlignment="1">
      <alignment vertical="top" wrapText="1"/>
    </xf>
    <xf numFmtId="2" fontId="81" fillId="0" borderId="44" xfId="2" applyNumberFormat="1" applyFont="1" applyFill="1" applyBorder="1" applyAlignment="1">
      <alignment horizontal="center" vertical="center"/>
    </xf>
    <xf numFmtId="2" fontId="81" fillId="0" borderId="46" xfId="2" applyNumberFormat="1" applyFont="1" applyFill="1" applyBorder="1" applyAlignment="1">
      <alignment horizontal="center" vertical="center"/>
    </xf>
    <xf numFmtId="49" fontId="58" fillId="0" borderId="47" xfId="2" applyNumberFormat="1" applyFont="1" applyFill="1" applyBorder="1" applyAlignment="1">
      <alignment horizontal="center" vertical="top"/>
    </xf>
    <xf numFmtId="167" fontId="58" fillId="0" borderId="49" xfId="2" applyNumberFormat="1" applyFont="1" applyFill="1" applyBorder="1" applyAlignment="1">
      <alignment vertical="top" wrapText="1"/>
    </xf>
    <xf numFmtId="167" fontId="58" fillId="0" borderId="47" xfId="2" applyNumberFormat="1" applyFont="1" applyFill="1" applyBorder="1" applyAlignment="1">
      <alignment vertical="top" wrapText="1"/>
    </xf>
    <xf numFmtId="169" fontId="81" fillId="0" borderId="47" xfId="2" applyNumberFormat="1" applyFont="1" applyFill="1" applyBorder="1" applyAlignment="1">
      <alignment horizontal="center" vertical="center"/>
    </xf>
    <xf numFmtId="0" fontId="78" fillId="0" borderId="0" xfId="2" applyFont="1" applyFill="1" applyAlignment="1">
      <alignment vertical="center"/>
    </xf>
    <xf numFmtId="49" fontId="88" fillId="0" borderId="47" xfId="2" applyNumberFormat="1" applyFont="1" applyFill="1" applyBorder="1" applyAlignment="1">
      <alignment horizontal="center" vertical="top"/>
    </xf>
    <xf numFmtId="167" fontId="88" fillId="0" borderId="49" xfId="2" applyNumberFormat="1" applyFont="1" applyFill="1" applyBorder="1" applyAlignment="1">
      <alignment vertical="top" wrapText="1"/>
    </xf>
    <xf numFmtId="167" fontId="88" fillId="0" borderId="47" xfId="2" applyNumberFormat="1" applyFont="1" applyFill="1" applyBorder="1" applyAlignment="1">
      <alignment vertical="top" wrapText="1"/>
    </xf>
    <xf numFmtId="168" fontId="81" fillId="0" borderId="47" xfId="2" applyNumberFormat="1" applyFont="1" applyFill="1" applyBorder="1" applyAlignment="1">
      <alignment horizontal="center" vertical="center"/>
    </xf>
    <xf numFmtId="168" fontId="48" fillId="0" borderId="0" xfId="2" applyNumberFormat="1" applyFont="1" applyFill="1" applyAlignment="1">
      <alignment vertical="center"/>
    </xf>
    <xf numFmtId="0" fontId="58" fillId="0" borderId="52" xfId="2" applyFont="1" applyFill="1" applyBorder="1" applyAlignment="1">
      <alignment horizontal="justify" vertical="top" wrapText="1"/>
    </xf>
    <xf numFmtId="0" fontId="58" fillId="0" borderId="36" xfId="2" applyFont="1" applyFill="1" applyBorder="1" applyAlignment="1">
      <alignment horizontal="justify" vertical="top" wrapText="1"/>
    </xf>
    <xf numFmtId="49" fontId="89" fillId="2" borderId="5" xfId="2" applyNumberFormat="1" applyFont="1" applyFill="1" applyBorder="1" applyAlignment="1">
      <alignment horizontal="center" vertical="center" wrapText="1"/>
    </xf>
    <xf numFmtId="49" fontId="89" fillId="2" borderId="1" xfId="56" applyNumberFormat="1" applyFont="1" applyFill="1" applyBorder="1" applyAlignment="1">
      <alignment horizontal="center" vertical="center" wrapText="1"/>
    </xf>
    <xf numFmtId="49" fontId="81" fillId="0" borderId="49" xfId="2" applyNumberFormat="1" applyFont="1" applyFill="1" applyBorder="1" applyAlignment="1">
      <alignment horizontal="center" vertical="top"/>
    </xf>
    <xf numFmtId="49" fontId="58" fillId="0" borderId="64" xfId="2" applyNumberFormat="1" applyFont="1" applyFill="1" applyBorder="1" applyAlignment="1">
      <alignment horizontal="center" vertical="top"/>
    </xf>
    <xf numFmtId="167" fontId="58" fillId="0" borderId="64" xfId="2" applyNumberFormat="1" applyFont="1" applyFill="1" applyBorder="1" applyAlignment="1">
      <alignment vertical="top" wrapText="1"/>
    </xf>
    <xf numFmtId="2" fontId="81" fillId="0" borderId="66" xfId="2" applyNumberFormat="1" applyFont="1" applyFill="1" applyBorder="1" applyAlignment="1">
      <alignment horizontal="center" vertical="center" wrapText="1"/>
    </xf>
    <xf numFmtId="168" fontId="81" fillId="0" borderId="64" xfId="2" applyNumberFormat="1" applyFont="1" applyFill="1" applyBorder="1" applyAlignment="1">
      <alignment horizontal="center" vertical="center"/>
    </xf>
    <xf numFmtId="49" fontId="23" fillId="2" borderId="2" xfId="56" applyNumberFormat="1" applyFont="1" applyFill="1" applyBorder="1" applyAlignment="1">
      <alignment horizontal="center" vertical="center" wrapText="1"/>
    </xf>
    <xf numFmtId="49" fontId="89" fillId="2" borderId="3" xfId="56" applyNumberFormat="1" applyFont="1" applyFill="1" applyBorder="1" applyAlignment="1">
      <alignment horizontal="center" vertical="center" wrapText="1"/>
    </xf>
    <xf numFmtId="0" fontId="23" fillId="2" borderId="3" xfId="56" applyFont="1" applyFill="1" applyBorder="1" applyAlignment="1">
      <alignment horizontal="center" vertical="center" wrapText="1"/>
    </xf>
    <xf numFmtId="0" fontId="69" fillId="2" borderId="3" xfId="56" applyFont="1" applyFill="1" applyBorder="1" applyAlignment="1">
      <alignment horizontal="center" vertical="center" wrapText="1"/>
    </xf>
    <xf numFmtId="49" fontId="81" fillId="0" borderId="61" xfId="2" applyNumberFormat="1" applyFont="1" applyFill="1" applyBorder="1" applyAlignment="1">
      <alignment horizontal="center" vertical="top"/>
    </xf>
    <xf numFmtId="2" fontId="81" fillId="0" borderId="31" xfId="2" applyNumberFormat="1" applyFont="1" applyFill="1" applyBorder="1" applyAlignment="1">
      <alignment horizontal="center" vertical="center"/>
    </xf>
    <xf numFmtId="2" fontId="81" fillId="0" borderId="62" xfId="2" applyNumberFormat="1" applyFont="1" applyFill="1" applyBorder="1" applyAlignment="1">
      <alignment horizontal="center" vertical="center"/>
    </xf>
    <xf numFmtId="2" fontId="57" fillId="0" borderId="62" xfId="2" applyNumberFormat="1" applyFont="1" applyFill="1" applyBorder="1" applyAlignment="1">
      <alignment horizontal="center" vertical="center" wrapText="1"/>
    </xf>
    <xf numFmtId="165" fontId="81" fillId="0" borderId="31" xfId="2" applyNumberFormat="1" applyFont="1" applyFill="1" applyBorder="1" applyAlignment="1">
      <alignment horizontal="center" vertical="center"/>
    </xf>
    <xf numFmtId="168" fontId="81" fillId="0" borderId="31" xfId="2" applyNumberFormat="1" applyFont="1" applyFill="1" applyBorder="1" applyAlignment="1">
      <alignment horizontal="center" vertical="center"/>
    </xf>
    <xf numFmtId="49" fontId="23" fillId="2" borderId="7" xfId="56" applyNumberFormat="1" applyFont="1" applyFill="1" applyBorder="1" applyAlignment="1">
      <alignment horizontal="center" vertical="center" wrapText="1"/>
    </xf>
    <xf numFmtId="49" fontId="89" fillId="2" borderId="8" xfId="56" applyNumberFormat="1" applyFont="1" applyFill="1" applyBorder="1" applyAlignment="1">
      <alignment horizontal="center" vertical="center" wrapText="1"/>
    </xf>
    <xf numFmtId="0" fontId="23" fillId="2" borderId="8" xfId="56" applyFont="1" applyFill="1" applyBorder="1" applyAlignment="1">
      <alignment horizontal="center" vertical="center" wrapText="1"/>
    </xf>
    <xf numFmtId="0" fontId="69" fillId="2" borderId="8" xfId="56" applyFont="1" applyFill="1" applyBorder="1" applyAlignment="1">
      <alignment horizontal="center" vertical="center" wrapText="1"/>
    </xf>
    <xf numFmtId="49" fontId="81" fillId="0" borderId="67" xfId="2" applyNumberFormat="1" applyFont="1" applyFill="1" applyBorder="1" applyAlignment="1">
      <alignment horizontal="center" vertical="top"/>
    </xf>
    <xf numFmtId="2" fontId="81" fillId="0" borderId="35" xfId="2" applyNumberFormat="1" applyFont="1" applyFill="1" applyBorder="1" applyAlignment="1">
      <alignment horizontal="center" vertical="center"/>
    </xf>
    <xf numFmtId="2" fontId="81" fillId="0" borderId="68" xfId="2" applyNumberFormat="1" applyFont="1" applyFill="1" applyBorder="1" applyAlignment="1">
      <alignment horizontal="center" vertical="center"/>
    </xf>
    <xf numFmtId="2" fontId="57" fillId="0" borderId="68" xfId="2" applyNumberFormat="1" applyFont="1" applyFill="1" applyBorder="1" applyAlignment="1">
      <alignment horizontal="center" vertical="center" wrapText="1"/>
    </xf>
    <xf numFmtId="165" fontId="81" fillId="0" borderId="35" xfId="2" applyNumberFormat="1" applyFont="1" applyFill="1" applyBorder="1" applyAlignment="1">
      <alignment horizontal="center" vertical="center"/>
    </xf>
    <xf numFmtId="168" fontId="81" fillId="0" borderId="35" xfId="2" applyNumberFormat="1" applyFont="1" applyFill="1" applyBorder="1" applyAlignment="1">
      <alignment horizontal="center" vertical="center"/>
    </xf>
    <xf numFmtId="166" fontId="81" fillId="0" borderId="44" xfId="2" applyNumberFormat="1" applyFont="1" applyFill="1" applyBorder="1" applyAlignment="1">
      <alignment horizontal="right" vertical="top"/>
    </xf>
    <xf numFmtId="168" fontId="81" fillId="0" borderId="44" xfId="2" applyNumberFormat="1" applyFont="1" applyFill="1" applyBorder="1" applyAlignment="1">
      <alignment horizontal="center" vertical="center"/>
    </xf>
    <xf numFmtId="0" fontId="89" fillId="2" borderId="1" xfId="2" applyFont="1" applyFill="1" applyBorder="1" applyAlignment="1">
      <alignment horizontal="left" vertical="center" wrapText="1"/>
    </xf>
    <xf numFmtId="166" fontId="81" fillId="0" borderId="47" xfId="2" applyNumberFormat="1" applyFont="1" applyFill="1" applyBorder="1" applyAlignment="1">
      <alignment horizontal="right" vertical="center"/>
    </xf>
    <xf numFmtId="2" fontId="81" fillId="2" borderId="47" xfId="2" applyNumberFormat="1" applyFont="1" applyFill="1" applyBorder="1" applyAlignment="1">
      <alignment horizontal="center" vertical="center"/>
    </xf>
    <xf numFmtId="2" fontId="81" fillId="2" borderId="50"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7" xfId="2" applyNumberFormat="1" applyFont="1" applyFill="1" applyBorder="1" applyAlignment="1">
      <alignment vertical="top" wrapText="1"/>
    </xf>
    <xf numFmtId="2" fontId="57" fillId="0" borderId="50" xfId="2" applyNumberFormat="1" applyFont="1" applyFill="1" applyBorder="1" applyAlignment="1">
      <alignment horizontal="center" vertical="center" wrapText="1"/>
    </xf>
    <xf numFmtId="2" fontId="81" fillId="0" borderId="47" xfId="2" applyNumberFormat="1" applyFont="1" applyFill="1" applyBorder="1" applyAlignment="1">
      <alignment horizontal="right" vertical="top"/>
    </xf>
    <xf numFmtId="2" fontId="81" fillId="0" borderId="50" xfId="2" applyNumberFormat="1" applyFont="1" applyFill="1" applyBorder="1" applyAlignment="1">
      <alignment horizontal="right" vertical="top"/>
    </xf>
    <xf numFmtId="2" fontId="81" fillId="0" borderId="50" xfId="2" applyNumberFormat="1" applyFont="1" applyFill="1" applyBorder="1" applyAlignment="1">
      <alignment horizontal="right" vertical="top" wrapText="1"/>
    </xf>
    <xf numFmtId="2" fontId="87" fillId="0" borderId="47" xfId="2" applyNumberFormat="1" applyFont="1" applyFill="1" applyBorder="1" applyAlignment="1">
      <alignment horizontal="right" vertical="top"/>
    </xf>
    <xf numFmtId="165" fontId="87" fillId="0" borderId="47" xfId="2" applyNumberFormat="1" applyFont="1" applyFill="1" applyBorder="1" applyAlignment="1">
      <alignment horizontal="right" vertical="top"/>
    </xf>
    <xf numFmtId="165" fontId="87" fillId="0" borderId="49" xfId="2" applyNumberFormat="1" applyFont="1" applyFill="1" applyBorder="1" applyAlignment="1">
      <alignment horizontal="right" vertical="top"/>
    </xf>
    <xf numFmtId="2" fontId="87" fillId="0" borderId="50" xfId="2" applyNumberFormat="1" applyFont="1" applyFill="1" applyBorder="1" applyAlignment="1">
      <alignment horizontal="right" vertical="top"/>
    </xf>
    <xf numFmtId="165" fontId="87" fillId="0" borderId="50" xfId="2" applyNumberFormat="1" applyFont="1" applyFill="1" applyBorder="1" applyAlignment="1">
      <alignment horizontal="right" vertical="top"/>
    </xf>
    <xf numFmtId="168" fontId="87" fillId="0" borderId="50" xfId="2" applyNumberFormat="1" applyFont="1" applyFill="1" applyBorder="1" applyAlignment="1">
      <alignment horizontal="right" vertical="top"/>
    </xf>
    <xf numFmtId="165" fontId="81" fillId="0" borderId="50" xfId="2" applyNumberFormat="1" applyFont="1" applyFill="1" applyBorder="1" applyAlignment="1">
      <alignment horizontal="right" vertical="top"/>
    </xf>
    <xf numFmtId="168" fontId="81" fillId="0" borderId="50" xfId="2" applyNumberFormat="1" applyFont="1" applyFill="1" applyBorder="1" applyAlignment="1">
      <alignment horizontal="right" vertical="top"/>
    </xf>
    <xf numFmtId="2" fontId="81" fillId="0" borderId="64" xfId="2" applyNumberFormat="1" applyFont="1" applyFill="1" applyBorder="1" applyAlignment="1">
      <alignment horizontal="right" vertical="top"/>
    </xf>
    <xf numFmtId="2" fontId="81" fillId="0" borderId="66" xfId="2" applyNumberFormat="1" applyFont="1" applyFill="1" applyBorder="1" applyAlignment="1">
      <alignment horizontal="right" vertical="top"/>
    </xf>
    <xf numFmtId="165" fontId="81" fillId="0" borderId="66" xfId="2" applyNumberFormat="1" applyFont="1" applyFill="1" applyBorder="1" applyAlignment="1">
      <alignment horizontal="right" vertical="top"/>
    </xf>
    <xf numFmtId="168" fontId="81" fillId="0" borderId="66" xfId="2" applyNumberFormat="1" applyFont="1" applyFill="1" applyBorder="1" applyAlignment="1">
      <alignment horizontal="right" vertical="top"/>
    </xf>
    <xf numFmtId="49" fontId="57" fillId="0" borderId="38" xfId="2" applyNumberFormat="1" applyFont="1" applyFill="1" applyBorder="1" applyAlignment="1">
      <alignment horizontal="center" vertical="center"/>
    </xf>
    <xf numFmtId="166" fontId="91" fillId="0" borderId="41" xfId="2" applyNumberFormat="1" applyFont="1" applyFill="1" applyBorder="1" applyAlignment="1">
      <alignment horizontal="center" vertical="top"/>
    </xf>
    <xf numFmtId="166" fontId="57" fillId="0" borderId="38" xfId="2" applyNumberFormat="1" applyFont="1" applyFill="1" applyBorder="1" applyAlignment="1">
      <alignment horizontal="center" vertical="center"/>
    </xf>
    <xf numFmtId="167" fontId="57" fillId="0" borderId="38" xfId="2" applyNumberFormat="1" applyFont="1" applyFill="1" applyBorder="1" applyAlignment="1" applyProtection="1">
      <alignment horizontal="center" vertical="center"/>
      <protection locked="0"/>
    </xf>
    <xf numFmtId="2" fontId="57" fillId="0" borderId="38" xfId="2" applyNumberFormat="1" applyFont="1" applyFill="1" applyBorder="1" applyAlignment="1" applyProtection="1">
      <alignment horizontal="center" vertical="center"/>
      <protection locked="0"/>
    </xf>
    <xf numFmtId="2" fontId="92" fillId="0" borderId="38" xfId="2" applyNumberFormat="1" applyFont="1" applyFill="1" applyBorder="1" applyAlignment="1" applyProtection="1">
      <alignment horizontal="center" vertical="top"/>
      <protection locked="0"/>
    </xf>
    <xf numFmtId="166" fontId="92" fillId="0" borderId="38" xfId="2" applyNumberFormat="1" applyFont="1" applyFill="1" applyBorder="1" applyAlignment="1" applyProtection="1">
      <alignment horizontal="right" vertical="top"/>
      <protection locked="0"/>
    </xf>
    <xf numFmtId="169" fontId="92" fillId="0" borderId="38" xfId="2" applyNumberFormat="1" applyFont="1" applyFill="1" applyBorder="1" applyAlignment="1" applyProtection="1">
      <alignment horizontal="right" vertical="top"/>
      <protection locked="0"/>
    </xf>
    <xf numFmtId="165" fontId="92" fillId="0" borderId="38" xfId="2" applyNumberFormat="1" applyFont="1" applyFill="1" applyBorder="1" applyAlignment="1" applyProtection="1">
      <alignment horizontal="right" vertical="top"/>
      <protection locked="0"/>
    </xf>
    <xf numFmtId="4" fontId="92" fillId="0" borderId="38" xfId="2" applyNumberFormat="1" applyFont="1" applyFill="1" applyBorder="1" applyAlignment="1" applyProtection="1">
      <alignment horizontal="right" vertical="top"/>
      <protection locked="0"/>
    </xf>
    <xf numFmtId="4" fontId="57" fillId="0" borderId="38" xfId="2" applyNumberFormat="1" applyFont="1" applyFill="1" applyBorder="1" applyAlignment="1" applyProtection="1">
      <alignment horizontal="center" vertical="center"/>
      <protection locked="0"/>
    </xf>
    <xf numFmtId="166" fontId="83" fillId="0" borderId="0" xfId="2" applyNumberFormat="1" applyFont="1" applyFill="1" applyAlignment="1">
      <alignment vertical="center"/>
    </xf>
    <xf numFmtId="166" fontId="48" fillId="0" borderId="0" xfId="2" applyNumberFormat="1" applyFont="1" applyFill="1" applyAlignment="1">
      <alignment vertical="center"/>
    </xf>
    <xf numFmtId="166" fontId="54" fillId="0" borderId="0" xfId="2" applyNumberFormat="1" applyFont="1" applyFill="1" applyAlignment="1">
      <alignment vertical="center"/>
    </xf>
    <xf numFmtId="0" fontId="15" fillId="0" borderId="0" xfId="2" applyAlignment="1">
      <alignment vertical="center"/>
    </xf>
    <xf numFmtId="0" fontId="76" fillId="0" borderId="0" xfId="2" applyFont="1" applyFill="1" applyAlignment="1">
      <alignment vertical="center"/>
    </xf>
    <xf numFmtId="0" fontId="4" fillId="0" borderId="0" xfId="0" quotePrefix="1" applyFont="1" applyAlignment="1">
      <alignment horizontal="left"/>
    </xf>
    <xf numFmtId="0" fontId="16" fillId="0" borderId="0" xfId="2" applyFont="1" applyAlignment="1">
      <alignment vertical="center" wrapText="1"/>
    </xf>
    <xf numFmtId="49" fontId="16" fillId="0" borderId="0" xfId="2" applyNumberFormat="1" applyFont="1" applyAlignment="1">
      <alignment horizontal="center" vertical="center" wrapText="1"/>
    </xf>
    <xf numFmtId="4" fontId="16" fillId="0" borderId="0" xfId="2" applyNumberFormat="1" applyFont="1" applyAlignment="1">
      <alignment horizontal="right" vertical="center" wrapText="1"/>
    </xf>
    <xf numFmtId="4" fontId="16" fillId="0" borderId="0" xfId="2" applyNumberFormat="1" applyFont="1" applyAlignment="1">
      <alignment vertical="center" wrapText="1"/>
    </xf>
    <xf numFmtId="0" fontId="16" fillId="0" borderId="0" xfId="2" applyFont="1" applyAlignment="1">
      <alignment horizontal="center" vertical="center" wrapText="1"/>
    </xf>
    <xf numFmtId="0" fontId="63" fillId="0" borderId="0" xfId="2" applyFont="1" applyAlignment="1">
      <alignment vertical="center" wrapText="1"/>
    </xf>
    <xf numFmtId="4" fontId="62" fillId="0" borderId="0" xfId="2" applyNumberFormat="1" applyFont="1" applyBorder="1" applyAlignment="1">
      <alignment horizontal="center" vertical="center" wrapText="1"/>
    </xf>
    <xf numFmtId="0" fontId="16" fillId="0" borderId="16" xfId="2" applyFont="1" applyBorder="1" applyAlignment="1">
      <alignment horizontal="center" vertical="center" wrapText="1"/>
    </xf>
    <xf numFmtId="49" fontId="16" fillId="0" borderId="17" xfId="2" applyNumberFormat="1" applyFont="1" applyBorder="1" applyAlignment="1">
      <alignment horizontal="center" vertical="center" wrapText="1"/>
    </xf>
    <xf numFmtId="4" fontId="16" fillId="0" borderId="63" xfId="2" applyNumberFormat="1" applyFont="1" applyFill="1" applyBorder="1" applyAlignment="1">
      <alignment horizontal="center" vertical="center" wrapText="1"/>
    </xf>
    <xf numFmtId="4" fontId="16" fillId="0" borderId="17" xfId="2" applyNumberFormat="1" applyFont="1" applyFill="1" applyBorder="1" applyAlignment="1">
      <alignment horizontal="center" vertical="center" wrapText="1"/>
    </xf>
    <xf numFmtId="0" fontId="16" fillId="0" borderId="18" xfId="2" applyFont="1" applyFill="1" applyBorder="1" applyAlignment="1">
      <alignment horizontal="center" vertical="center" wrapText="1"/>
    </xf>
    <xf numFmtId="0" fontId="63" fillId="0" borderId="0" xfId="2" applyFont="1" applyAlignment="1">
      <alignment horizontal="center" vertical="center" wrapText="1"/>
    </xf>
    <xf numFmtId="0" fontId="8" fillId="2" borderId="19" xfId="2" applyFont="1" applyFill="1" applyBorder="1" applyAlignment="1">
      <alignment horizontal="left" vertical="center" wrapText="1"/>
    </xf>
    <xf numFmtId="0" fontId="8" fillId="2" borderId="6" xfId="2" applyFont="1" applyFill="1" applyBorder="1" applyAlignment="1">
      <alignment vertical="center" wrapText="1"/>
    </xf>
    <xf numFmtId="4" fontId="8" fillId="2" borderId="69" xfId="2" applyNumberFormat="1" applyFont="1" applyFill="1" applyBorder="1" applyAlignment="1">
      <alignment horizontal="center" vertical="center" wrapText="1"/>
    </xf>
    <xf numFmtId="0" fontId="94" fillId="0" borderId="0" xfId="2" applyFont="1" applyAlignment="1">
      <alignment horizontal="center" vertical="center" wrapText="1"/>
    </xf>
    <xf numFmtId="0" fontId="8" fillId="2" borderId="5" xfId="2" applyFont="1" applyFill="1" applyBorder="1" applyAlignment="1">
      <alignment horizontal="left" vertical="center" wrapText="1"/>
    </xf>
    <xf numFmtId="4" fontId="8" fillId="2" borderId="56" xfId="2" applyNumberFormat="1" applyFont="1" applyFill="1" applyBorder="1" applyAlignment="1">
      <alignment horizontal="center" vertical="center" wrapText="1"/>
    </xf>
    <xf numFmtId="49" fontId="8" fillId="2" borderId="57" xfId="2" applyNumberFormat="1" applyFont="1" applyFill="1" applyBorder="1" applyAlignment="1">
      <alignment horizontal="center" vertical="center" wrapText="1"/>
    </xf>
    <xf numFmtId="14" fontId="16" fillId="2" borderId="1" xfId="2" applyNumberFormat="1" applyFont="1" applyFill="1" applyBorder="1" applyAlignment="1">
      <alignment horizontal="center" vertical="center" wrapText="1"/>
    </xf>
    <xf numFmtId="0" fontId="16" fillId="2" borderId="6" xfId="2" applyFont="1" applyFill="1" applyBorder="1" applyAlignment="1">
      <alignment vertical="center" wrapText="1"/>
    </xf>
    <xf numFmtId="0" fontId="8" fillId="2" borderId="2" xfId="2" applyFont="1" applyFill="1" applyBorder="1" applyAlignment="1">
      <alignment horizontal="left" vertical="center" wrapText="1"/>
    </xf>
    <xf numFmtId="49" fontId="8" fillId="2" borderId="3" xfId="2" applyNumberFormat="1" applyFont="1" applyFill="1" applyBorder="1" applyAlignment="1">
      <alignment horizontal="center" vertical="center" wrapText="1"/>
    </xf>
    <xf numFmtId="49" fontId="16" fillId="2" borderId="57" xfId="2" applyNumberFormat="1" applyFont="1" applyFill="1" applyBorder="1" applyAlignment="1">
      <alignment horizontal="center" vertical="center" wrapText="1"/>
    </xf>
    <xf numFmtId="4" fontId="16" fillId="2" borderId="56" xfId="2" applyNumberFormat="1" applyFont="1" applyFill="1" applyBorder="1" applyAlignment="1">
      <alignment horizontal="center" vertical="center" wrapText="1"/>
    </xf>
    <xf numFmtId="0" fontId="94" fillId="0" borderId="0" xfId="2" applyFont="1" applyAlignment="1">
      <alignment vertical="center" wrapText="1"/>
    </xf>
    <xf numFmtId="49" fontId="8" fillId="2" borderId="1" xfId="2" applyNumberFormat="1" applyFont="1" applyFill="1" applyBorder="1" applyAlignment="1">
      <alignment horizontal="center" vertical="center" wrapText="1"/>
    </xf>
    <xf numFmtId="4" fontId="8" fillId="0" borderId="56" xfId="2" applyNumberFormat="1" applyFont="1" applyFill="1" applyBorder="1" applyAlignment="1">
      <alignment horizontal="center" vertical="center" wrapText="1"/>
    </xf>
    <xf numFmtId="0" fontId="16" fillId="2" borderId="5" xfId="2" applyFont="1" applyFill="1" applyBorder="1" applyAlignment="1">
      <alignment horizontal="left" vertical="center" wrapText="1"/>
    </xf>
    <xf numFmtId="0" fontId="19" fillId="2" borderId="5" xfId="2" applyFont="1" applyFill="1" applyBorder="1" applyAlignment="1">
      <alignment horizontal="left" vertical="center" wrapText="1"/>
    </xf>
    <xf numFmtId="4" fontId="8" fillId="2" borderId="54" xfId="2" applyNumberFormat="1" applyFont="1" applyFill="1" applyBorder="1" applyAlignment="1">
      <alignment horizontal="center" vertical="center" wrapText="1"/>
    </xf>
    <xf numFmtId="4" fontId="8" fillId="2" borderId="1" xfId="2" applyNumberFormat="1" applyFont="1" applyFill="1" applyBorder="1" applyAlignment="1">
      <alignment horizontal="center" vertical="center" wrapText="1"/>
    </xf>
    <xf numFmtId="14" fontId="16" fillId="2" borderId="12" xfId="2" applyNumberFormat="1" applyFont="1" applyFill="1" applyBorder="1" applyAlignment="1">
      <alignment horizontal="center" vertical="center" wrapText="1"/>
    </xf>
    <xf numFmtId="0" fontId="8" fillId="2" borderId="22" xfId="2" applyFont="1" applyFill="1" applyBorder="1" applyAlignment="1">
      <alignment horizontal="left" vertical="center" wrapText="1"/>
    </xf>
    <xf numFmtId="49" fontId="8" fillId="2" borderId="60" xfId="2" applyNumberFormat="1" applyFont="1" applyFill="1" applyBorder="1" applyAlignment="1">
      <alignment horizontal="center" vertical="center" wrapText="1"/>
    </xf>
    <xf numFmtId="4" fontId="62" fillId="2" borderId="63" xfId="2" applyNumberFormat="1" applyFont="1" applyFill="1" applyBorder="1" applyAlignment="1">
      <alignment horizontal="center" vertical="center" wrapText="1"/>
    </xf>
    <xf numFmtId="4" fontId="62" fillId="2" borderId="17" xfId="2" applyNumberFormat="1" applyFont="1" applyFill="1" applyBorder="1" applyAlignment="1">
      <alignment vertical="center" wrapText="1"/>
    </xf>
    <xf numFmtId="4" fontId="16" fillId="2" borderId="18" xfId="2" applyNumberFormat="1" applyFont="1" applyFill="1" applyBorder="1" applyAlignment="1">
      <alignment vertical="center" wrapText="1"/>
    </xf>
    <xf numFmtId="49" fontId="8" fillId="2" borderId="5" xfId="2" applyNumberFormat="1" applyFont="1" applyFill="1" applyBorder="1" applyAlignment="1">
      <alignment horizontal="center" vertical="center" wrapText="1"/>
    </xf>
    <xf numFmtId="14" fontId="8" fillId="2" borderId="12" xfId="2" applyNumberFormat="1" applyFont="1" applyFill="1" applyBorder="1" applyAlignment="1">
      <alignment horizontal="center" vertical="center" wrapText="1"/>
    </xf>
    <xf numFmtId="0" fontId="8" fillId="2" borderId="14" xfId="2" applyFont="1" applyFill="1" applyBorder="1" applyAlignment="1">
      <alignment vertical="center" wrapText="1"/>
    </xf>
    <xf numFmtId="0" fontId="16" fillId="2" borderId="14" xfId="2" applyFont="1" applyFill="1" applyBorder="1" applyAlignment="1">
      <alignment vertical="center" wrapText="1"/>
    </xf>
    <xf numFmtId="0" fontId="8" fillId="0" borderId="22" xfId="2" applyFont="1" applyFill="1" applyBorder="1" applyAlignment="1">
      <alignment horizontal="left" vertical="center" wrapText="1"/>
    </xf>
    <xf numFmtId="49" fontId="8" fillId="0" borderId="5" xfId="2" applyNumberFormat="1" applyFont="1" applyFill="1" applyBorder="1" applyAlignment="1">
      <alignment horizontal="center" vertical="center" wrapText="1"/>
    </xf>
    <xf numFmtId="14" fontId="8" fillId="0" borderId="12" xfId="2" applyNumberFormat="1" applyFont="1" applyFill="1" applyBorder="1" applyAlignment="1">
      <alignment horizontal="center" vertical="center" wrapText="1"/>
    </xf>
    <xf numFmtId="4" fontId="62" fillId="0" borderId="63" xfId="2" applyNumberFormat="1" applyFont="1" applyFill="1" applyBorder="1" applyAlignment="1">
      <alignment horizontal="center" vertical="center" wrapText="1"/>
    </xf>
    <xf numFmtId="4" fontId="62" fillId="0" borderId="17" xfId="2" applyNumberFormat="1" applyFont="1" applyFill="1" applyBorder="1" applyAlignment="1">
      <alignment horizontal="center" vertical="center" wrapText="1"/>
    </xf>
    <xf numFmtId="4" fontId="62" fillId="0" borderId="18" xfId="2" applyNumberFormat="1" applyFont="1" applyFill="1" applyBorder="1" applyAlignment="1">
      <alignment horizontal="center" vertical="center" wrapText="1"/>
    </xf>
    <xf numFmtId="4" fontId="63" fillId="0" borderId="0" xfId="2" applyNumberFormat="1" applyFont="1" applyAlignment="1">
      <alignment vertical="center" wrapText="1"/>
    </xf>
    <xf numFmtId="4" fontId="62" fillId="2" borderId="17" xfId="2" applyNumberFormat="1" applyFont="1" applyFill="1" applyBorder="1" applyAlignment="1">
      <alignment horizontal="center" vertical="center" wrapText="1"/>
    </xf>
    <xf numFmtId="4" fontId="16" fillId="2" borderId="18" xfId="2" applyNumberFormat="1" applyFont="1" applyFill="1" applyBorder="1" applyAlignment="1">
      <alignment horizontal="center" vertical="center" wrapText="1"/>
    </xf>
    <xf numFmtId="49" fontId="63" fillId="0" borderId="0" xfId="2" applyNumberFormat="1" applyFont="1" applyAlignment="1">
      <alignment horizontal="center" vertical="center" wrapText="1"/>
    </xf>
    <xf numFmtId="4" fontId="63" fillId="0" borderId="0" xfId="2" applyNumberFormat="1" applyFont="1" applyAlignment="1">
      <alignment horizontal="right" vertical="center" wrapText="1"/>
    </xf>
    <xf numFmtId="4" fontId="8" fillId="20" borderId="1" xfId="2" applyNumberFormat="1" applyFont="1" applyFill="1" applyBorder="1" applyAlignment="1">
      <alignment horizontal="center" vertical="center" wrapText="1"/>
    </xf>
    <xf numFmtId="0" fontId="8" fillId="20" borderId="6" xfId="2" applyFont="1" applyFill="1" applyBorder="1" applyAlignment="1">
      <alignment vertical="center" wrapText="1"/>
    </xf>
    <xf numFmtId="49" fontId="16" fillId="0" borderId="12" xfId="56" applyNumberFormat="1" applyFont="1" applyFill="1" applyBorder="1" applyAlignment="1">
      <alignment horizontal="center" vertical="center" wrapText="1"/>
    </xf>
    <xf numFmtId="164" fontId="16" fillId="0" borderId="0" xfId="2" applyNumberFormat="1" applyFont="1" applyFill="1"/>
    <xf numFmtId="49" fontId="2" fillId="0" borderId="5" xfId="0" applyNumberFormat="1" applyFont="1" applyBorder="1" applyAlignment="1">
      <alignment vertical="center"/>
    </xf>
    <xf numFmtId="164" fontId="2" fillId="0" borderId="0" xfId="0" applyNumberFormat="1" applyFont="1"/>
    <xf numFmtId="2" fontId="46" fillId="0" borderId="45" xfId="2" applyNumberFormat="1" applyFont="1" applyFill="1" applyBorder="1" applyAlignment="1">
      <alignment horizontal="center" vertical="top" wrapText="1"/>
    </xf>
    <xf numFmtId="2" fontId="46" fillId="0" borderId="44" xfId="2" applyNumberFormat="1" applyFont="1" applyFill="1" applyBorder="1" applyAlignment="1">
      <alignment horizontal="center" vertical="top" wrapText="1"/>
    </xf>
    <xf numFmtId="2" fontId="46" fillId="0" borderId="46" xfId="2" applyNumberFormat="1" applyFont="1" applyFill="1" applyBorder="1" applyAlignment="1">
      <alignment horizontal="center" vertical="top" wrapText="1"/>
    </xf>
    <xf numFmtId="2" fontId="51" fillId="0" borderId="45" xfId="2" applyNumberFormat="1" applyFont="1" applyFill="1" applyBorder="1" applyAlignment="1">
      <alignment horizontal="center" vertical="top" wrapText="1"/>
    </xf>
    <xf numFmtId="2" fontId="51" fillId="0" borderId="44" xfId="2" applyNumberFormat="1" applyFont="1" applyFill="1" applyBorder="1" applyAlignment="1">
      <alignment horizontal="center" vertical="top" wrapText="1"/>
    </xf>
    <xf numFmtId="2" fontId="51" fillId="0" borderId="46" xfId="2" applyNumberFormat="1" applyFont="1" applyFill="1" applyBorder="1" applyAlignment="1">
      <alignment horizontal="center" vertical="top" wrapText="1"/>
    </xf>
    <xf numFmtId="2" fontId="54" fillId="0" borderId="45" xfId="2" applyNumberFormat="1" applyFont="1" applyFill="1" applyBorder="1" applyAlignment="1">
      <alignment horizontal="center" vertical="top" wrapText="1"/>
    </xf>
    <xf numFmtId="2" fontId="54" fillId="0" borderId="44" xfId="2" applyNumberFormat="1" applyFont="1" applyFill="1" applyBorder="1" applyAlignment="1">
      <alignment horizontal="center" vertical="top" wrapText="1"/>
    </xf>
    <xf numFmtId="2" fontId="54" fillId="0" borderId="46" xfId="2" applyNumberFormat="1" applyFont="1" applyFill="1" applyBorder="1" applyAlignment="1">
      <alignment horizontal="center" vertical="top" wrapText="1"/>
    </xf>
    <xf numFmtId="2" fontId="48" fillId="0" borderId="47" xfId="2" applyNumberFormat="1" applyFont="1" applyFill="1" applyBorder="1" applyAlignment="1">
      <alignment horizontal="center" vertical="top" wrapText="1"/>
    </xf>
    <xf numFmtId="2" fontId="54" fillId="0" borderId="47" xfId="2" applyNumberFormat="1" applyFont="1" applyFill="1" applyBorder="1" applyAlignment="1">
      <alignment horizontal="center" vertical="top" wrapText="1"/>
    </xf>
    <xf numFmtId="2" fontId="54" fillId="0" borderId="49" xfId="2" applyNumberFormat="1" applyFont="1" applyFill="1" applyBorder="1" applyAlignment="1">
      <alignment horizontal="center" vertical="top" wrapText="1"/>
    </xf>
    <xf numFmtId="2" fontId="54" fillId="0" borderId="50" xfId="2" applyNumberFormat="1" applyFont="1" applyFill="1" applyBorder="1" applyAlignment="1">
      <alignment horizontal="center" vertical="top" wrapText="1"/>
    </xf>
    <xf numFmtId="2" fontId="54" fillId="0" borderId="53" xfId="2" applyNumberFormat="1" applyFont="1" applyFill="1" applyBorder="1" applyAlignment="1">
      <alignment horizontal="center" vertical="top" wrapText="1"/>
    </xf>
    <xf numFmtId="2" fontId="46" fillId="0" borderId="41" xfId="2" applyNumberFormat="1" applyFont="1" applyFill="1" applyBorder="1" applyAlignment="1">
      <alignment horizontal="center" vertical="top" wrapText="1"/>
    </xf>
    <xf numFmtId="2" fontId="46" fillId="0" borderId="38" xfId="2" applyNumberFormat="1" applyFont="1" applyFill="1" applyBorder="1" applyAlignment="1">
      <alignment horizontal="center" vertical="top" wrapText="1"/>
    </xf>
    <xf numFmtId="2" fontId="46" fillId="0" borderId="42" xfId="2" applyNumberFormat="1" applyFont="1" applyFill="1" applyBorder="1" applyAlignment="1">
      <alignment horizontal="center" vertical="top" wrapText="1"/>
    </xf>
    <xf numFmtId="49" fontId="8" fillId="20" borderId="57" xfId="2" applyNumberFormat="1" applyFont="1" applyFill="1" applyBorder="1" applyAlignment="1">
      <alignment horizontal="center" vertical="center" wrapText="1"/>
    </xf>
    <xf numFmtId="4" fontId="8" fillId="20" borderId="56" xfId="2" applyNumberFormat="1" applyFont="1" applyFill="1" applyBorder="1" applyAlignment="1">
      <alignment horizontal="center" vertical="center" wrapText="1"/>
    </xf>
    <xf numFmtId="0" fontId="16" fillId="20" borderId="6" xfId="2" applyFont="1" applyFill="1" applyBorder="1" applyAlignment="1">
      <alignment vertical="center" wrapText="1"/>
    </xf>
    <xf numFmtId="2" fontId="51" fillId="0" borderId="49" xfId="2" applyNumberFormat="1" applyFont="1" applyFill="1" applyBorder="1" applyAlignment="1">
      <alignment horizontal="center" vertical="top" wrapText="1"/>
    </xf>
    <xf numFmtId="2" fontId="51" fillId="0" borderId="47" xfId="2" applyNumberFormat="1" applyFont="1" applyFill="1" applyBorder="1" applyAlignment="1">
      <alignment horizontal="center" vertical="top"/>
    </xf>
    <xf numFmtId="2" fontId="51" fillId="0" borderId="50" xfId="2" applyNumberFormat="1" applyFont="1" applyFill="1" applyBorder="1" applyAlignment="1">
      <alignment horizontal="center" vertical="top"/>
    </xf>
    <xf numFmtId="2" fontId="54" fillId="0" borderId="47" xfId="2" applyNumberFormat="1" applyFont="1" applyFill="1" applyBorder="1" applyAlignment="1">
      <alignment horizontal="center" vertical="top"/>
    </xf>
    <xf numFmtId="2" fontId="54" fillId="0" borderId="50" xfId="2" applyNumberFormat="1" applyFont="1" applyFill="1" applyBorder="1" applyAlignment="1">
      <alignment horizontal="center" vertical="top"/>
    </xf>
    <xf numFmtId="2" fontId="48" fillId="0" borderId="47" xfId="2" applyNumberFormat="1" applyFont="1" applyFill="1" applyBorder="1" applyAlignment="1">
      <alignment horizontal="center" vertical="top"/>
    </xf>
    <xf numFmtId="2" fontId="54" fillId="0" borderId="0" xfId="2" applyNumberFormat="1" applyFont="1" applyFill="1" applyBorder="1" applyAlignment="1">
      <alignment horizontal="center" vertical="top" wrapText="1"/>
    </xf>
    <xf numFmtId="2" fontId="54" fillId="0" borderId="52" xfId="2" applyNumberFormat="1" applyFont="1" applyFill="1" applyBorder="1" applyAlignment="1">
      <alignment horizontal="center" vertical="top"/>
    </xf>
    <xf numFmtId="2" fontId="54" fillId="0" borderId="53" xfId="2" applyNumberFormat="1" applyFont="1" applyFill="1" applyBorder="1" applyAlignment="1">
      <alignment horizontal="center" vertical="top"/>
    </xf>
    <xf numFmtId="2" fontId="46" fillId="0" borderId="38" xfId="2" applyNumberFormat="1" applyFont="1" applyBorder="1" applyAlignment="1">
      <alignment horizontal="left" vertical="top" wrapText="1"/>
    </xf>
    <xf numFmtId="2" fontId="46" fillId="0" borderId="41" xfId="2" applyNumberFormat="1" applyFont="1" applyFill="1" applyBorder="1" applyAlignment="1">
      <alignment horizontal="center" vertical="center" wrapText="1"/>
    </xf>
    <xf numFmtId="2" fontId="46" fillId="0" borderId="38" xfId="2" applyNumberFormat="1" applyFont="1" applyFill="1" applyBorder="1" applyAlignment="1">
      <alignment horizontal="center" vertical="center"/>
    </xf>
    <xf numFmtId="2" fontId="46" fillId="0" borderId="42" xfId="2" applyNumberFormat="1" applyFont="1" applyFill="1" applyBorder="1" applyAlignment="1">
      <alignment horizontal="center" vertical="center"/>
    </xf>
    <xf numFmtId="3" fontId="59" fillId="0" borderId="32" xfId="2" applyNumberFormat="1" applyFont="1" applyFill="1" applyBorder="1" applyAlignment="1">
      <alignment horizontal="center" vertical="center" wrapText="1"/>
    </xf>
    <xf numFmtId="3" fontId="59" fillId="0" borderId="59" xfId="2" applyNumberFormat="1" applyFont="1" applyFill="1" applyBorder="1" applyAlignment="1">
      <alignment horizontal="center" vertical="center" wrapText="1"/>
    </xf>
    <xf numFmtId="3" fontId="59" fillId="0" borderId="33" xfId="2" applyNumberFormat="1" applyFont="1" applyFill="1" applyBorder="1" applyAlignment="1">
      <alignment horizontal="center" vertical="center" wrapText="1"/>
    </xf>
    <xf numFmtId="49" fontId="81" fillId="0" borderId="1" xfId="2" applyNumberFormat="1" applyFont="1" applyFill="1" applyBorder="1" applyAlignment="1">
      <alignment horizontal="center" vertical="top"/>
    </xf>
    <xf numFmtId="0" fontId="81" fillId="0" borderId="1" xfId="2" applyFont="1" applyFill="1" applyBorder="1" applyAlignment="1">
      <alignment vertical="top" wrapText="1"/>
    </xf>
    <xf numFmtId="167" fontId="81" fillId="0" borderId="1" xfId="2" applyNumberFormat="1" applyFont="1" applyFill="1" applyBorder="1" applyAlignment="1">
      <alignment vertical="top" wrapText="1"/>
    </xf>
    <xf numFmtId="165" fontId="81" fillId="0" borderId="1" xfId="2" applyNumberFormat="1" applyFont="1" applyFill="1" applyBorder="1" applyAlignment="1">
      <alignment horizontal="right" vertical="top"/>
    </xf>
    <xf numFmtId="2" fontId="81" fillId="0" borderId="1" xfId="2" applyNumberFormat="1" applyFont="1" applyFill="1" applyBorder="1" applyAlignment="1">
      <alignment horizontal="center" vertical="center"/>
    </xf>
    <xf numFmtId="4" fontId="81" fillId="0" borderId="1" xfId="2" applyNumberFormat="1" applyFont="1" applyFill="1" applyBorder="1" applyAlignment="1">
      <alignment horizontal="center" vertical="center"/>
    </xf>
    <xf numFmtId="166" fontId="81" fillId="0" borderId="1" xfId="2" applyNumberFormat="1" applyFont="1" applyFill="1" applyBorder="1" applyAlignment="1">
      <alignment horizontal="center" vertical="center"/>
    </xf>
    <xf numFmtId="166" fontId="81" fillId="0" borderId="1" xfId="2" applyNumberFormat="1" applyFont="1" applyFill="1" applyBorder="1" applyAlignment="1">
      <alignment horizontal="right" vertical="top"/>
    </xf>
    <xf numFmtId="167" fontId="81" fillId="0" borderId="1" xfId="2" applyNumberFormat="1" applyFont="1" applyFill="1" applyBorder="1" applyAlignment="1">
      <alignment horizontal="left" vertical="center" wrapText="1"/>
    </xf>
    <xf numFmtId="49" fontId="57" fillId="0" borderId="2" xfId="2" applyNumberFormat="1" applyFont="1" applyFill="1" applyBorder="1" applyAlignment="1">
      <alignment horizontal="center" vertical="top"/>
    </xf>
    <xf numFmtId="49" fontId="81" fillId="0" borderId="3" xfId="2" applyNumberFormat="1" applyFont="1" applyFill="1" applyBorder="1" applyAlignment="1">
      <alignment horizontal="center" vertical="top"/>
    </xf>
    <xf numFmtId="49" fontId="57" fillId="0" borderId="3" xfId="2" applyNumberFormat="1" applyFont="1" applyFill="1" applyBorder="1" applyAlignment="1">
      <alignment horizontal="center" vertical="top"/>
    </xf>
    <xf numFmtId="0" fontId="57" fillId="0" borderId="3" xfId="2" applyFont="1" applyFill="1" applyBorder="1" applyAlignment="1">
      <alignment vertical="top" wrapText="1"/>
    </xf>
    <xf numFmtId="167" fontId="84" fillId="0" borderId="3" xfId="2" applyNumberFormat="1" applyFont="1" applyFill="1" applyBorder="1" applyAlignment="1">
      <alignment vertical="top" wrapText="1"/>
    </xf>
    <xf numFmtId="165" fontId="85" fillId="0" borderId="3" xfId="2" applyNumberFormat="1" applyFont="1" applyFill="1" applyBorder="1" applyAlignment="1">
      <alignment horizontal="center" vertical="top"/>
    </xf>
    <xf numFmtId="2" fontId="85" fillId="0" borderId="3" xfId="2" applyNumberFormat="1" applyFont="1" applyFill="1" applyBorder="1" applyAlignment="1">
      <alignment horizontal="center" vertical="center"/>
    </xf>
    <xf numFmtId="165" fontId="85" fillId="0" borderId="4" xfId="2" applyNumberFormat="1" applyFont="1" applyFill="1" applyBorder="1" applyAlignment="1">
      <alignment horizontal="center" vertical="top"/>
    </xf>
    <xf numFmtId="49" fontId="57" fillId="0" borderId="7" xfId="2" applyNumberFormat="1" applyFont="1" applyFill="1" applyBorder="1" applyAlignment="1">
      <alignment horizontal="center" vertical="top"/>
    </xf>
    <xf numFmtId="49" fontId="57" fillId="0" borderId="8" xfId="2" applyNumberFormat="1" applyFont="1" applyFill="1" applyBorder="1" applyAlignment="1">
      <alignment horizontal="center" vertical="top"/>
    </xf>
    <xf numFmtId="0" fontId="57" fillId="0" borderId="8" xfId="2" applyFont="1" applyFill="1" applyBorder="1" applyAlignment="1">
      <alignment vertical="top" wrapText="1"/>
    </xf>
    <xf numFmtId="167" fontId="57" fillId="0" borderId="8" xfId="2" applyNumberFormat="1" applyFont="1" applyFill="1" applyBorder="1" applyAlignment="1">
      <alignment vertical="top" wrapText="1"/>
    </xf>
    <xf numFmtId="165" fontId="85" fillId="0" borderId="8" xfId="2" applyNumberFormat="1" applyFont="1" applyFill="1" applyBorder="1" applyAlignment="1">
      <alignment horizontal="right" vertical="top"/>
    </xf>
    <xf numFmtId="2" fontId="85" fillId="0" borderId="8" xfId="2" applyNumberFormat="1" applyFont="1" applyFill="1" applyBorder="1" applyAlignment="1">
      <alignment horizontal="center" vertical="center"/>
    </xf>
    <xf numFmtId="166" fontId="86" fillId="0" borderId="8" xfId="2" applyNumberFormat="1" applyFont="1" applyFill="1" applyBorder="1" applyAlignment="1">
      <alignment horizontal="center" vertical="center"/>
    </xf>
    <xf numFmtId="167" fontId="86" fillId="0" borderId="8" xfId="2" applyNumberFormat="1" applyFont="1" applyFill="1" applyBorder="1" applyAlignment="1">
      <alignment horizontal="center" vertical="center"/>
    </xf>
    <xf numFmtId="167" fontId="86" fillId="0" borderId="71" xfId="2" applyNumberFormat="1" applyFont="1" applyFill="1" applyBorder="1" applyAlignment="1">
      <alignment horizontal="center" vertical="center"/>
    </xf>
    <xf numFmtId="49" fontId="81" fillId="0" borderId="5" xfId="2" applyNumberFormat="1" applyFont="1" applyFill="1" applyBorder="1" applyAlignment="1">
      <alignment horizontal="center" vertical="top"/>
    </xf>
    <xf numFmtId="165" fontId="81" fillId="0" borderId="6" xfId="2" applyNumberFormat="1" applyFont="1" applyFill="1" applyBorder="1" applyAlignment="1">
      <alignment horizontal="center" vertical="center"/>
    </xf>
    <xf numFmtId="0" fontId="8" fillId="0" borderId="6" xfId="2" applyFont="1" applyFill="1" applyBorder="1" applyAlignment="1">
      <alignment vertical="center" wrapText="1"/>
    </xf>
    <xf numFmtId="4" fontId="8" fillId="0" borderId="20" xfId="2" applyNumberFormat="1" applyFont="1" applyFill="1" applyBorder="1" applyAlignment="1">
      <alignment horizontal="center" vertical="center" wrapText="1"/>
    </xf>
    <xf numFmtId="1" fontId="12" fillId="0" borderId="5" xfId="2" applyNumberFormat="1" applyFont="1" applyFill="1" applyBorder="1" applyAlignment="1">
      <alignment horizontal="left" vertical="center"/>
    </xf>
    <xf numFmtId="1" fontId="8" fillId="0" borderId="5" xfId="2" applyNumberFormat="1" applyFont="1" applyFill="1" applyBorder="1" applyAlignment="1">
      <alignment horizontal="left" vertical="center"/>
    </xf>
    <xf numFmtId="1" fontId="8" fillId="0" borderId="5" xfId="2" applyNumberFormat="1" applyFont="1" applyFill="1" applyBorder="1"/>
    <xf numFmtId="0" fontId="2" fillId="0" borderId="6" xfId="0" applyFont="1" applyFill="1" applyBorder="1" applyAlignment="1">
      <alignment horizontal="center" vertical="center" wrapText="1"/>
    </xf>
    <xf numFmtId="0" fontId="2" fillId="0" borderId="1" xfId="0" applyFont="1" applyFill="1" applyBorder="1"/>
    <xf numFmtId="0" fontId="2" fillId="0" borderId="6" xfId="0" applyFont="1" applyFill="1" applyBorder="1"/>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xf>
    <xf numFmtId="164" fontId="2" fillId="0" borderId="6" xfId="0" applyNumberFormat="1" applyFont="1" applyFill="1" applyBorder="1" applyAlignment="1">
      <alignment horizontal="right" vertical="center"/>
    </xf>
    <xf numFmtId="164" fontId="3" fillId="0" borderId="8" xfId="0" applyNumberFormat="1" applyFont="1" applyFill="1" applyBorder="1" applyAlignment="1">
      <alignment horizontal="right"/>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8" xfId="0" applyFont="1" applyFill="1" applyBorder="1"/>
    <xf numFmtId="0" fontId="8" fillId="0" borderId="0" xfId="1" applyFont="1" applyAlignment="1">
      <alignment wrapText="1"/>
    </xf>
    <xf numFmtId="0" fontId="14" fillId="0" borderId="0" xfId="1" applyFont="1" applyFill="1" applyBorder="1" applyAlignment="1">
      <alignment horizontal="left" vertical="top" wrapText="1"/>
    </xf>
    <xf numFmtId="0" fontId="16" fillId="2" borderId="0" xfId="56" applyNumberFormat="1" applyFont="1" applyFill="1" applyAlignment="1" applyProtection="1"/>
    <xf numFmtId="49" fontId="48" fillId="0" borderId="0" xfId="2" applyNumberFormat="1" applyFont="1" applyFill="1" applyAlignment="1">
      <alignment vertical="center"/>
    </xf>
    <xf numFmtId="0" fontId="48" fillId="0" borderId="0" xfId="2" applyFont="1" applyFill="1" applyAlignment="1">
      <alignment horizontal="justify" vertical="center"/>
    </xf>
    <xf numFmtId="0" fontId="95" fillId="0" borderId="0" xfId="0" applyFont="1"/>
    <xf numFmtId="164" fontId="62" fillId="0" borderId="57" xfId="2" applyNumberFormat="1" applyFont="1" applyFill="1" applyBorder="1" applyAlignment="1">
      <alignment horizontal="center" vertical="center"/>
    </xf>
    <xf numFmtId="164" fontId="62" fillId="0" borderId="0" xfId="2" applyNumberFormat="1" applyFont="1" applyFill="1" applyBorder="1" applyAlignment="1">
      <alignment horizontal="center" vertical="center"/>
    </xf>
    <xf numFmtId="0" fontId="46" fillId="0" borderId="40" xfId="2" applyFont="1" applyBorder="1" applyAlignment="1">
      <alignment horizontal="center" vertical="distributed" wrapText="1"/>
    </xf>
    <xf numFmtId="0" fontId="46" fillId="0" borderId="41" xfId="2" applyFont="1" applyBorder="1" applyAlignment="1">
      <alignment horizontal="center" vertical="distributed" wrapText="1"/>
    </xf>
    <xf numFmtId="0" fontId="46" fillId="0" borderId="42" xfId="2" applyFont="1" applyBorder="1" applyAlignment="1">
      <alignment horizontal="center" vertical="distributed" wrapText="1"/>
    </xf>
    <xf numFmtId="0" fontId="46" fillId="0" borderId="0" xfId="2" applyFont="1" applyAlignment="1">
      <alignment horizontal="center" vertical="center"/>
    </xf>
    <xf numFmtId="0" fontId="46" fillId="0" borderId="0" xfId="2" applyFont="1" applyAlignment="1">
      <alignment horizontal="center"/>
    </xf>
    <xf numFmtId="0" fontId="23" fillId="0" borderId="52" xfId="2" applyFont="1" applyFill="1" applyBorder="1" applyAlignment="1">
      <alignment horizontal="center" vertical="center" wrapText="1"/>
    </xf>
    <xf numFmtId="0" fontId="23" fillId="0" borderId="64" xfId="2" applyFont="1" applyFill="1" applyBorder="1" applyAlignment="1">
      <alignment horizontal="center" vertical="center" wrapText="1"/>
    </xf>
    <xf numFmtId="49" fontId="8" fillId="0" borderId="57" xfId="2" applyNumberFormat="1" applyFont="1" applyFill="1" applyBorder="1" applyAlignment="1">
      <alignment horizontal="center" vertical="center" wrapText="1"/>
    </xf>
    <xf numFmtId="0" fontId="16" fillId="0" borderId="6" xfId="2" applyFont="1" applyFill="1" applyBorder="1" applyAlignment="1">
      <alignment vertical="center" wrapText="1"/>
    </xf>
    <xf numFmtId="0" fontId="3" fillId="0" borderId="1" xfId="0" applyFont="1" applyBorder="1" applyAlignment="1">
      <alignment horizontal="center" vertical="center" wrapText="1"/>
    </xf>
    <xf numFmtId="164" fontId="3" fillId="0" borderId="6" xfId="0" applyNumberFormat="1" applyFont="1" applyFill="1" applyBorder="1" applyAlignment="1">
      <alignment horizontal="right" vertical="center" wrapText="1"/>
    </xf>
    <xf numFmtId="4" fontId="98" fillId="2" borderId="1" xfId="2" applyNumberFormat="1" applyFont="1" applyFill="1" applyBorder="1" applyAlignment="1">
      <alignment horizontal="center" vertical="center" wrapText="1"/>
    </xf>
    <xf numFmtId="2" fontId="12" fillId="2" borderId="17" xfId="56" applyNumberFormat="1" applyFont="1" applyFill="1" applyBorder="1" applyAlignment="1">
      <alignment horizontal="center" vertical="center"/>
    </xf>
    <xf numFmtId="2" fontId="8" fillId="0" borderId="1" xfId="49" applyNumberFormat="1" applyFont="1" applyFill="1" applyBorder="1" applyAlignment="1">
      <alignment horizontal="center" vertical="center"/>
    </xf>
    <xf numFmtId="49" fontId="62" fillId="0" borderId="5" xfId="2" applyNumberFormat="1" applyFont="1" applyFill="1" applyBorder="1" applyAlignment="1">
      <alignment horizontal="center" vertical="center" wrapText="1"/>
    </xf>
    <xf numFmtId="2" fontId="62" fillId="0" borderId="1" xfId="49" applyNumberFormat="1" applyFont="1" applyFill="1" applyBorder="1" applyAlignment="1">
      <alignment horizontal="center" vertical="center"/>
    </xf>
    <xf numFmtId="2" fontId="12" fillId="2" borderId="6" xfId="49" applyNumberFormat="1" applyFont="1" applyFill="1" applyBorder="1" applyAlignment="1">
      <alignment horizontal="center" vertical="center"/>
    </xf>
    <xf numFmtId="1" fontId="62" fillId="2" borderId="12" xfId="49" applyNumberFormat="1" applyFont="1" applyFill="1" applyBorder="1" applyAlignment="1">
      <alignment horizontal="center" vertical="center"/>
    </xf>
    <xf numFmtId="2" fontId="20" fillId="0" borderId="0" xfId="56" applyNumberFormat="1" applyFont="1" applyFill="1" applyAlignment="1" applyProtection="1"/>
    <xf numFmtId="4" fontId="8" fillId="0" borderId="1" xfId="2" applyNumberFormat="1" applyFont="1" applyFill="1" applyBorder="1" applyAlignment="1">
      <alignment horizontal="center" vertical="center" wrapText="1"/>
    </xf>
    <xf numFmtId="0" fontId="12" fillId="0" borderId="1" xfId="2" applyFont="1" applyFill="1" applyBorder="1" applyAlignment="1">
      <alignment horizontal="left" vertical="center"/>
    </xf>
    <xf numFmtId="0" fontId="16" fillId="0" borderId="1" xfId="2" applyFont="1" applyFill="1" applyBorder="1" applyAlignment="1">
      <alignment horizontal="left" vertical="center"/>
    </xf>
    <xf numFmtId="0" fontId="16" fillId="0" borderId="2" xfId="2" applyFont="1" applyFill="1" applyBorder="1" applyAlignment="1">
      <alignment horizontal="center" vertical="top" wrapText="1"/>
    </xf>
    <xf numFmtId="0" fontId="16" fillId="0" borderId="3" xfId="2" applyFont="1" applyFill="1" applyBorder="1" applyAlignment="1">
      <alignment horizontal="center" vertical="top" wrapText="1"/>
    </xf>
    <xf numFmtId="0" fontId="16" fillId="0" borderId="4" xfId="2" applyFont="1" applyFill="1" applyBorder="1" applyAlignment="1">
      <alignment horizontal="center" vertical="top" wrapText="1"/>
    </xf>
    <xf numFmtId="0" fontId="12" fillId="0" borderId="5" xfId="2" applyFont="1" applyFill="1" applyBorder="1" applyAlignment="1">
      <alignment horizontal="center" vertical="center"/>
    </xf>
    <xf numFmtId="164" fontId="12" fillId="0" borderId="6" xfId="2" applyNumberFormat="1" applyFont="1" applyFill="1" applyBorder="1" applyAlignment="1">
      <alignment horizontal="center" vertical="center"/>
    </xf>
    <xf numFmtId="0" fontId="16" fillId="0" borderId="5" xfId="2" applyFont="1" applyFill="1" applyBorder="1" applyAlignment="1">
      <alignment horizontal="center" vertical="center"/>
    </xf>
    <xf numFmtId="164" fontId="16" fillId="0" borderId="6" xfId="2" applyNumberFormat="1" applyFont="1" applyFill="1" applyBorder="1" applyAlignment="1">
      <alignment horizontal="center" vertical="center"/>
    </xf>
    <xf numFmtId="0" fontId="8" fillId="0" borderId="5" xfId="2" applyFont="1" applyFill="1" applyBorder="1" applyAlignment="1">
      <alignment horizontal="center" vertical="center"/>
    </xf>
    <xf numFmtId="164" fontId="8" fillId="0" borderId="6" xfId="2" applyNumberFormat="1" applyFont="1" applyFill="1" applyBorder="1" applyAlignment="1">
      <alignment horizontal="center" vertical="center"/>
    </xf>
    <xf numFmtId="164" fontId="16" fillId="20" borderId="6" xfId="2" applyNumberFormat="1" applyFont="1" applyFill="1" applyBorder="1" applyAlignment="1">
      <alignment horizontal="center" vertical="center"/>
    </xf>
    <xf numFmtId="0" fontId="62" fillId="20" borderId="5" xfId="2" applyFont="1" applyFill="1" applyBorder="1" applyAlignment="1">
      <alignment horizontal="center" vertical="center"/>
    </xf>
    <xf numFmtId="0" fontId="2" fillId="0" borderId="5" xfId="0" quotePrefix="1" applyFont="1" applyBorder="1" applyAlignment="1">
      <alignment vertical="center"/>
    </xf>
    <xf numFmtId="0" fontId="20" fillId="2" borderId="12" xfId="2" applyFont="1" applyFill="1" applyBorder="1" applyAlignment="1">
      <alignment horizontal="left" vertical="center" wrapText="1"/>
    </xf>
    <xf numFmtId="49" fontId="69" fillId="0" borderId="63" xfId="56" applyNumberFormat="1" applyFont="1" applyFill="1" applyBorder="1" applyAlignment="1">
      <alignment horizontal="center" vertical="center" wrapText="1"/>
    </xf>
    <xf numFmtId="49" fontId="62" fillId="2" borderId="69" xfId="56" applyNumberFormat="1" applyFont="1" applyFill="1" applyBorder="1" applyAlignment="1">
      <alignment horizontal="center" vertical="center" wrapText="1"/>
    </xf>
    <xf numFmtId="49" fontId="62" fillId="2" borderId="56" xfId="56" applyNumberFormat="1" applyFont="1" applyFill="1" applyBorder="1" applyAlignment="1">
      <alignment horizontal="center" vertical="center" wrapText="1"/>
    </xf>
    <xf numFmtId="49" fontId="16" fillId="2" borderId="56" xfId="56" applyNumberFormat="1" applyFont="1" applyFill="1" applyBorder="1" applyAlignment="1">
      <alignment horizontal="center" vertical="center" wrapText="1"/>
    </xf>
    <xf numFmtId="49" fontId="16" fillId="3" borderId="56" xfId="56" applyNumberFormat="1" applyFont="1" applyFill="1" applyBorder="1" applyAlignment="1">
      <alignment horizontal="center" vertical="center" wrapText="1"/>
    </xf>
    <xf numFmtId="49" fontId="16" fillId="0" borderId="56" xfId="56" applyNumberFormat="1" applyFont="1" applyFill="1" applyBorder="1" applyAlignment="1">
      <alignment horizontal="center" vertical="center" wrapText="1"/>
    </xf>
    <xf numFmtId="49" fontId="16" fillId="2" borderId="56" xfId="2" applyNumberFormat="1" applyFont="1" applyFill="1" applyBorder="1" applyAlignment="1">
      <alignment horizontal="center" vertical="center" wrapText="1"/>
    </xf>
    <xf numFmtId="49" fontId="62" fillId="2" borderId="56" xfId="2" applyNumberFormat="1" applyFont="1" applyFill="1" applyBorder="1" applyAlignment="1">
      <alignment horizontal="center" vertical="center" wrapText="1"/>
    </xf>
    <xf numFmtId="49" fontId="16" fillId="2" borderId="54" xfId="2" applyNumberFormat="1" applyFont="1" applyFill="1" applyBorder="1" applyAlignment="1">
      <alignment horizontal="center" vertical="center" wrapText="1"/>
    </xf>
    <xf numFmtId="49" fontId="16" fillId="0" borderId="56" xfId="2" applyNumberFormat="1" applyFont="1" applyFill="1" applyBorder="1" applyAlignment="1">
      <alignment horizontal="center" vertical="center" wrapText="1"/>
    </xf>
    <xf numFmtId="49" fontId="16" fillId="0" borderId="54" xfId="56" applyNumberFormat="1" applyFont="1" applyFill="1" applyBorder="1" applyAlignment="1">
      <alignment horizontal="center" vertical="center" wrapText="1"/>
    </xf>
    <xf numFmtId="49" fontId="62" fillId="2" borderId="54" xfId="2" applyNumberFormat="1" applyFont="1" applyFill="1" applyBorder="1" applyAlignment="1">
      <alignment horizontal="center" vertical="center" wrapText="1"/>
    </xf>
    <xf numFmtId="49" fontId="16" fillId="2" borderId="63" xfId="56" applyNumberFormat="1" applyFont="1" applyFill="1" applyBorder="1" applyAlignment="1">
      <alignment horizontal="center" vertical="center" wrapText="1"/>
    </xf>
    <xf numFmtId="0" fontId="69" fillId="0" borderId="16" xfId="56" applyFont="1" applyFill="1" applyBorder="1" applyAlignment="1">
      <alignment horizontal="center" vertical="center" wrapText="1"/>
    </xf>
    <xf numFmtId="1" fontId="69" fillId="0" borderId="18" xfId="49" applyNumberFormat="1" applyFont="1" applyFill="1" applyBorder="1" applyAlignment="1">
      <alignment vertical="center"/>
    </xf>
    <xf numFmtId="0" fontId="62" fillId="2" borderId="19" xfId="56" applyFont="1" applyFill="1" applyBorder="1" applyAlignment="1">
      <alignment horizontal="center" vertical="center" wrapText="1"/>
    </xf>
    <xf numFmtId="0" fontId="62" fillId="2" borderId="5" xfId="56" applyFont="1" applyFill="1" applyBorder="1" applyAlignment="1">
      <alignment horizontal="center" vertical="center" wrapText="1"/>
    </xf>
    <xf numFmtId="0" fontId="16" fillId="2" borderId="5" xfId="56" applyFont="1" applyFill="1" applyBorder="1" applyAlignment="1">
      <alignment horizontal="left" vertical="center" wrapText="1"/>
    </xf>
    <xf numFmtId="0" fontId="16" fillId="2" borderId="22" xfId="56" applyFont="1" applyFill="1" applyBorder="1" applyAlignment="1">
      <alignment horizontal="left" vertical="center" wrapText="1"/>
    </xf>
    <xf numFmtId="0" fontId="16" fillId="0" borderId="22" xfId="2" applyFont="1" applyFill="1" applyBorder="1" applyAlignment="1">
      <alignment horizontal="left" vertical="center" wrapText="1"/>
    </xf>
    <xf numFmtId="0" fontId="16" fillId="0" borderId="22" xfId="56" applyFont="1" applyFill="1" applyBorder="1" applyAlignment="1">
      <alignment horizontal="left" vertical="center" wrapText="1"/>
    </xf>
    <xf numFmtId="0" fontId="16" fillId="0" borderId="5" xfId="2" applyFont="1" applyFill="1" applyBorder="1" applyAlignment="1">
      <alignment horizontal="left" vertical="center" wrapText="1"/>
    </xf>
    <xf numFmtId="0" fontId="62" fillId="0" borderId="5" xfId="2" applyFont="1" applyFill="1" applyBorder="1" applyAlignment="1">
      <alignment horizontal="left" vertical="center" wrapText="1"/>
    </xf>
    <xf numFmtId="0" fontId="62" fillId="2" borderId="5" xfId="2" applyFont="1" applyFill="1" applyBorder="1" applyAlignment="1">
      <alignment horizontal="left" vertical="center" wrapText="1"/>
    </xf>
    <xf numFmtId="0" fontId="16" fillId="2" borderId="22" xfId="2" applyFont="1" applyFill="1" applyBorder="1" applyAlignment="1">
      <alignment horizontal="center" vertical="center" wrapText="1"/>
    </xf>
    <xf numFmtId="1" fontId="8" fillId="2" borderId="5" xfId="49" applyNumberFormat="1" applyFont="1" applyFill="1" applyBorder="1" applyAlignment="1">
      <alignment horizontal="left" vertical="top"/>
    </xf>
    <xf numFmtId="1" fontId="8" fillId="2" borderId="5" xfId="49" applyNumberFormat="1" applyFont="1" applyFill="1" applyBorder="1" applyAlignment="1">
      <alignment horizontal="left" vertical="top" wrapText="1"/>
    </xf>
    <xf numFmtId="0" fontId="16" fillId="2" borderId="5" xfId="2" applyFont="1" applyFill="1" applyBorder="1" applyAlignment="1">
      <alignment horizontal="center" vertical="center" wrapText="1"/>
    </xf>
    <xf numFmtId="0" fontId="16" fillId="3" borderId="5" xfId="2" applyFont="1" applyFill="1" applyBorder="1" applyAlignment="1">
      <alignment horizontal="center" vertical="center" wrapText="1"/>
    </xf>
    <xf numFmtId="1" fontId="8" fillId="3" borderId="6" xfId="49" applyNumberFormat="1" applyFont="1" applyFill="1" applyBorder="1" applyAlignment="1">
      <alignment horizontal="center" vertical="center"/>
    </xf>
    <xf numFmtId="0" fontId="16" fillId="2" borderId="22" xfId="2" applyFont="1" applyFill="1" applyBorder="1" applyAlignment="1">
      <alignment horizontal="left" vertical="center" wrapText="1"/>
    </xf>
    <xf numFmtId="1" fontId="62" fillId="0" borderId="6" xfId="49" applyNumberFormat="1" applyFont="1" applyFill="1" applyBorder="1" applyAlignment="1">
      <alignment horizontal="center" vertical="center"/>
    </xf>
    <xf numFmtId="0" fontId="62" fillId="2" borderId="22" xfId="2" applyFont="1" applyFill="1" applyBorder="1" applyAlignment="1">
      <alignment horizontal="left" vertical="center" wrapText="1"/>
    </xf>
    <xf numFmtId="0" fontId="16" fillId="20" borderId="22" xfId="2" applyFont="1" applyFill="1" applyBorder="1" applyAlignment="1">
      <alignment horizontal="left" vertical="center" wrapText="1"/>
    </xf>
    <xf numFmtId="0" fontId="62" fillId="2" borderId="16" xfId="56" applyFont="1" applyFill="1" applyBorder="1" applyAlignment="1">
      <alignment horizontal="center" vertical="center" wrapText="1"/>
    </xf>
    <xf numFmtId="2" fontId="12" fillId="2" borderId="18" xfId="56" applyNumberFormat="1" applyFont="1" applyFill="1" applyBorder="1" applyAlignment="1">
      <alignment horizontal="center" vertical="center"/>
    </xf>
    <xf numFmtId="0" fontId="8" fillId="20" borderId="5" xfId="2" applyFont="1" applyFill="1" applyBorder="1" applyAlignment="1">
      <alignment horizontal="left" vertical="center" wrapText="1"/>
    </xf>
    <xf numFmtId="2" fontId="62" fillId="2" borderId="1" xfId="49" applyNumberFormat="1" applyFont="1" applyFill="1" applyBorder="1" applyAlignment="1">
      <alignment horizontal="center" vertical="center"/>
    </xf>
    <xf numFmtId="2" fontId="74" fillId="2" borderId="1" xfId="1" applyNumberFormat="1" applyFont="1" applyFill="1" applyBorder="1" applyAlignment="1">
      <alignment horizontal="center" vertical="center"/>
    </xf>
    <xf numFmtId="2" fontId="16" fillId="2" borderId="1" xfId="49" applyNumberFormat="1" applyFont="1" applyFill="1" applyBorder="1" applyAlignment="1">
      <alignment horizontal="center" vertical="center"/>
    </xf>
    <xf numFmtId="2" fontId="8" fillId="2" borderId="1" xfId="49" applyNumberFormat="1" applyFont="1" applyFill="1" applyBorder="1" applyAlignment="1">
      <alignment horizontal="center" vertical="center"/>
    </xf>
    <xf numFmtId="2" fontId="73" fillId="0" borderId="1" xfId="1" applyNumberFormat="1" applyFont="1" applyFill="1" applyBorder="1" applyAlignment="1">
      <alignment horizontal="center" vertical="center"/>
    </xf>
    <xf numFmtId="49" fontId="8" fillId="0" borderId="3" xfId="2" applyNumberFormat="1" applyFont="1" applyFill="1" applyBorder="1" applyAlignment="1">
      <alignment horizontal="center" vertical="center" wrapText="1"/>
    </xf>
    <xf numFmtId="0" fontId="62" fillId="0" borderId="0" xfId="56" applyNumberFormat="1" applyFont="1" applyFill="1" applyBorder="1" applyAlignment="1" applyProtection="1">
      <alignment horizontal="center" vertical="top" wrapText="1"/>
    </xf>
    <xf numFmtId="0" fontId="16" fillId="20" borderId="5" xfId="2" applyFont="1" applyFill="1" applyBorder="1" applyAlignment="1">
      <alignment horizontal="left" vertical="center" wrapText="1"/>
    </xf>
    <xf numFmtId="4" fontId="16" fillId="20" borderId="56" xfId="2" applyNumberFormat="1" applyFont="1" applyFill="1" applyBorder="1" applyAlignment="1">
      <alignment horizontal="center" vertical="center" wrapText="1"/>
    </xf>
    <xf numFmtId="0" fontId="16" fillId="20" borderId="6" xfId="2" applyFont="1" applyFill="1" applyBorder="1" applyAlignment="1">
      <alignment vertical="top" wrapText="1"/>
    </xf>
    <xf numFmtId="170" fontId="2" fillId="20" borderId="1" xfId="0" applyNumberFormat="1" applyFont="1" applyFill="1" applyBorder="1" applyAlignment="1">
      <alignment horizontal="right" vertical="center"/>
    </xf>
    <xf numFmtId="0" fontId="95" fillId="20" borderId="6" xfId="2" applyFont="1" applyFill="1" applyBorder="1" applyAlignment="1">
      <alignment vertical="center" wrapText="1"/>
    </xf>
    <xf numFmtId="0" fontId="95" fillId="20" borderId="6" xfId="2" applyFont="1" applyFill="1" applyBorder="1" applyAlignment="1">
      <alignment vertical="top" wrapText="1"/>
    </xf>
    <xf numFmtId="0" fontId="16" fillId="20" borderId="1" xfId="2" applyFont="1" applyFill="1" applyBorder="1" applyAlignment="1">
      <alignment horizontal="left" vertical="center" wrapText="1"/>
    </xf>
    <xf numFmtId="0" fontId="8" fillId="20" borderId="5" xfId="2" applyFont="1" applyFill="1" applyBorder="1" applyAlignment="1">
      <alignment horizontal="center" vertical="center"/>
    </xf>
    <xf numFmtId="0" fontId="16" fillId="20" borderId="1" xfId="2" applyFont="1" applyFill="1" applyBorder="1" applyAlignment="1">
      <alignment horizontal="left" vertical="center"/>
    </xf>
    <xf numFmtId="164" fontId="8" fillId="20" borderId="6" xfId="2" applyNumberFormat="1" applyFont="1" applyFill="1" applyBorder="1" applyAlignment="1">
      <alignment horizontal="center" vertical="center"/>
    </xf>
    <xf numFmtId="0" fontId="12" fillId="20" borderId="5" xfId="2" applyFont="1" applyFill="1" applyBorder="1" applyAlignment="1">
      <alignment horizontal="center" vertical="center"/>
    </xf>
    <xf numFmtId="0" fontId="62" fillId="20" borderId="1" xfId="2" applyFont="1" applyFill="1" applyBorder="1" applyAlignment="1">
      <alignment horizontal="left" vertical="center"/>
    </xf>
    <xf numFmtId="164" fontId="12" fillId="20" borderId="6" xfId="2" applyNumberFormat="1" applyFont="1" applyFill="1" applyBorder="1" applyAlignment="1">
      <alignment horizontal="center" vertical="center"/>
    </xf>
    <xf numFmtId="164" fontId="62" fillId="20" borderId="6" xfId="2" applyNumberFormat="1" applyFont="1" applyFill="1" applyBorder="1" applyAlignment="1">
      <alignment horizontal="center" vertical="center"/>
    </xf>
    <xf numFmtId="0" fontId="16" fillId="20" borderId="5" xfId="2" applyFont="1" applyFill="1" applyBorder="1"/>
    <xf numFmtId="0" fontId="12" fillId="20" borderId="1" xfId="2" applyFont="1" applyFill="1" applyBorder="1" applyAlignment="1">
      <alignment horizontal="left" vertical="center" wrapText="1"/>
    </xf>
    <xf numFmtId="0" fontId="12" fillId="20" borderId="1" xfId="2" applyFont="1" applyFill="1" applyBorder="1" applyAlignment="1">
      <alignment horizontal="centerContinuous" vertical="center" wrapText="1"/>
    </xf>
    <xf numFmtId="0" fontId="16" fillId="20" borderId="1" xfId="2" applyFont="1" applyFill="1" applyBorder="1" applyAlignment="1">
      <alignment horizontal="centerContinuous" vertical="center" wrapText="1"/>
    </xf>
    <xf numFmtId="0" fontId="12" fillId="20" borderId="5" xfId="2" applyFont="1" applyFill="1" applyBorder="1" applyAlignment="1">
      <alignment horizontal="center"/>
    </xf>
    <xf numFmtId="0" fontId="12" fillId="20" borderId="1" xfId="2" applyFont="1" applyFill="1" applyBorder="1" applyAlignment="1">
      <alignment horizontal="left" vertical="center"/>
    </xf>
    <xf numFmtId="164" fontId="12" fillId="20" borderId="6" xfId="2" applyNumberFormat="1" applyFont="1" applyFill="1" applyBorder="1" applyAlignment="1">
      <alignment horizontal="center"/>
    </xf>
    <xf numFmtId="0" fontId="12" fillId="20" borderId="7" xfId="2" applyFont="1" applyFill="1" applyBorder="1" applyAlignment="1">
      <alignment horizontal="center"/>
    </xf>
    <xf numFmtId="0" fontId="12" fillId="20" borderId="8" xfId="2" applyFont="1" applyFill="1" applyBorder="1" applyAlignment="1">
      <alignment horizontal="left" vertical="center"/>
    </xf>
    <xf numFmtId="164" fontId="12" fillId="20" borderId="71" xfId="2" applyNumberFormat="1" applyFont="1" applyFill="1" applyBorder="1" applyAlignment="1">
      <alignment horizontal="center"/>
    </xf>
    <xf numFmtId="0" fontId="16" fillId="20" borderId="0" xfId="2" applyFont="1" applyFill="1"/>
    <xf numFmtId="0" fontId="16" fillId="20" borderId="0" xfId="2" applyFont="1" applyFill="1" applyAlignment="1">
      <alignment horizontal="right"/>
    </xf>
    <xf numFmtId="0" fontId="16" fillId="20" borderId="2" xfId="2" applyFont="1" applyFill="1" applyBorder="1" applyAlignment="1">
      <alignment horizontal="center" vertical="top" wrapText="1"/>
    </xf>
    <xf numFmtId="0" fontId="16" fillId="20" borderId="3" xfId="2" applyFont="1" applyFill="1" applyBorder="1" applyAlignment="1">
      <alignment horizontal="center" vertical="top" wrapText="1"/>
    </xf>
    <xf numFmtId="0" fontId="16" fillId="20" borderId="4" xfId="2" applyFont="1" applyFill="1" applyBorder="1" applyAlignment="1">
      <alignment horizontal="center" vertical="top" wrapText="1"/>
    </xf>
    <xf numFmtId="0" fontId="16" fillId="20" borderId="22" xfId="2" applyFont="1" applyFill="1" applyBorder="1" applyAlignment="1">
      <alignment horizontal="center" vertical="top" wrapText="1"/>
    </xf>
    <xf numFmtId="0" fontId="16" fillId="20" borderId="12" xfId="2" applyFont="1" applyFill="1" applyBorder="1" applyAlignment="1">
      <alignment horizontal="center" vertical="top" wrapText="1"/>
    </xf>
    <xf numFmtId="0" fontId="16" fillId="20" borderId="14" xfId="2" applyFont="1" applyFill="1" applyBorder="1" applyAlignment="1">
      <alignment horizontal="center" vertical="top" wrapText="1"/>
    </xf>
    <xf numFmtId="0" fontId="20" fillId="20" borderId="1" xfId="2" applyFont="1" applyFill="1" applyBorder="1" applyAlignment="1">
      <alignment horizontal="left" wrapText="1"/>
    </xf>
    <xf numFmtId="0" fontId="16" fillId="20" borderId="6" xfId="2" applyFont="1" applyFill="1" applyBorder="1" applyAlignment="1">
      <alignment horizontal="center" vertical="center"/>
    </xf>
    <xf numFmtId="0" fontId="12" fillId="20" borderId="5" xfId="2" applyFont="1" applyFill="1" applyBorder="1" applyAlignment="1">
      <alignment horizontal="centerContinuous" vertical="center"/>
    </xf>
    <xf numFmtId="0" fontId="12" fillId="20" borderId="1" xfId="2" applyFont="1" applyFill="1" applyBorder="1" applyAlignment="1">
      <alignment horizontal="centerContinuous" vertical="center"/>
    </xf>
    <xf numFmtId="0" fontId="2" fillId="20" borderId="5" xfId="0" applyFont="1" applyFill="1" applyBorder="1" applyAlignment="1">
      <alignment vertical="center"/>
    </xf>
    <xf numFmtId="0" fontId="2" fillId="20" borderId="1" xfId="0" applyFont="1" applyFill="1" applyBorder="1" applyAlignment="1">
      <alignment horizontal="center" vertical="center" wrapText="1"/>
    </xf>
    <xf numFmtId="0" fontId="2" fillId="20" borderId="1" xfId="0" applyFont="1" applyFill="1" applyBorder="1" applyAlignment="1">
      <alignment vertical="center" wrapText="1"/>
    </xf>
    <xf numFmtId="164" fontId="2" fillId="20" borderId="1" xfId="0" applyNumberFormat="1" applyFont="1" applyFill="1" applyBorder="1" applyAlignment="1">
      <alignment horizontal="right" vertical="center" wrapText="1"/>
    </xf>
    <xf numFmtId="164" fontId="2" fillId="20" borderId="1" xfId="0" applyNumberFormat="1" applyFont="1" applyFill="1" applyBorder="1" applyAlignment="1">
      <alignment horizontal="right" vertical="center"/>
    </xf>
    <xf numFmtId="0" fontId="2" fillId="20" borderId="0" xfId="0" applyFont="1" applyFill="1"/>
    <xf numFmtId="4" fontId="8" fillId="20" borderId="54" xfId="2" applyNumberFormat="1" applyFont="1" applyFill="1" applyBorder="1" applyAlignment="1">
      <alignment horizontal="center" vertical="center" wrapText="1"/>
    </xf>
    <xf numFmtId="4" fontId="98" fillId="20" borderId="1" xfId="2" applyNumberFormat="1" applyFont="1" applyFill="1" applyBorder="1" applyAlignment="1">
      <alignment horizontal="center" vertical="center" wrapText="1"/>
    </xf>
    <xf numFmtId="2" fontId="16" fillId="20" borderId="1" xfId="2" applyNumberFormat="1" applyFont="1" applyFill="1" applyBorder="1" applyAlignment="1">
      <alignment horizontal="center" vertical="center" wrapText="1"/>
    </xf>
    <xf numFmtId="1" fontId="8" fillId="20" borderId="1" xfId="2" applyNumberFormat="1" applyFont="1" applyFill="1" applyBorder="1" applyAlignment="1">
      <alignment horizontal="center" vertical="center"/>
    </xf>
    <xf numFmtId="0" fontId="12" fillId="20" borderId="0" xfId="2" applyFont="1" applyFill="1" applyAlignment="1">
      <alignment horizontal="left"/>
    </xf>
    <xf numFmtId="0" fontId="62" fillId="20" borderId="1" xfId="2" applyFont="1" applyFill="1" applyBorder="1" applyAlignment="1">
      <alignment horizontal="center"/>
    </xf>
    <xf numFmtId="0" fontId="62" fillId="20" borderId="6" xfId="2" applyFont="1" applyFill="1" applyBorder="1" applyAlignment="1">
      <alignment horizontal="center"/>
    </xf>
    <xf numFmtId="0" fontId="19" fillId="20" borderId="5" xfId="2" applyFont="1" applyFill="1" applyBorder="1" applyAlignment="1">
      <alignment horizontal="left" vertical="center" wrapText="1"/>
    </xf>
    <xf numFmtId="49" fontId="8" fillId="20" borderId="1" xfId="2" applyNumberFormat="1" applyFont="1" applyFill="1" applyBorder="1" applyAlignment="1">
      <alignment horizontal="center" vertical="center" wrapText="1"/>
    </xf>
    <xf numFmtId="14" fontId="16" fillId="20" borderId="1" xfId="2" applyNumberFormat="1" applyFont="1" applyFill="1" applyBorder="1" applyAlignment="1">
      <alignment horizontal="center" vertical="center" wrapText="1"/>
    </xf>
    <xf numFmtId="49" fontId="8" fillId="20" borderId="1" xfId="56" applyNumberFormat="1" applyFont="1" applyFill="1" applyBorder="1" applyAlignment="1">
      <alignment horizontal="center" vertical="center" wrapText="1"/>
    </xf>
    <xf numFmtId="0" fontId="16" fillId="20" borderId="6" xfId="2" applyFont="1" applyFill="1" applyBorder="1" applyAlignment="1">
      <alignment horizontal="left" vertical="center" wrapText="1"/>
    </xf>
    <xf numFmtId="0" fontId="8" fillId="20" borderId="6" xfId="2" applyFont="1" applyFill="1" applyBorder="1" applyAlignment="1">
      <alignment horizontal="left" vertical="center" wrapText="1"/>
    </xf>
    <xf numFmtId="0" fontId="16" fillId="20" borderId="6" xfId="56" applyFont="1" applyFill="1" applyBorder="1" applyAlignment="1">
      <alignment vertical="center" wrapText="1"/>
    </xf>
    <xf numFmtId="49" fontId="16" fillId="20" borderId="1" xfId="2" applyNumberFormat="1" applyFont="1" applyFill="1" applyBorder="1" applyAlignment="1">
      <alignment horizontal="center" vertical="center" wrapText="1"/>
    </xf>
    <xf numFmtId="14" fontId="72" fillId="20" borderId="1" xfId="2" applyNumberFormat="1" applyFont="1" applyFill="1" applyBorder="1" applyAlignment="1">
      <alignment horizontal="center" vertical="center" wrapText="1"/>
    </xf>
    <xf numFmtId="4" fontId="16" fillId="20" borderId="1" xfId="2" applyNumberFormat="1" applyFont="1" applyFill="1" applyBorder="1" applyAlignment="1">
      <alignment horizontal="center" vertical="center" wrapText="1"/>
    </xf>
    <xf numFmtId="4" fontId="95" fillId="20" borderId="1" xfId="2" applyNumberFormat="1" applyFont="1" applyFill="1" applyBorder="1" applyAlignment="1">
      <alignment horizontal="center" vertical="center" wrapText="1"/>
    </xf>
    <xf numFmtId="4" fontId="12" fillId="20" borderId="1" xfId="2" applyNumberFormat="1" applyFont="1" applyFill="1" applyBorder="1" applyAlignment="1">
      <alignment horizontal="center" vertical="center" wrapText="1"/>
    </xf>
    <xf numFmtId="0" fontId="8" fillId="2" borderId="11" xfId="2" applyFont="1" applyFill="1" applyBorder="1" applyAlignment="1">
      <alignment horizontal="left" vertical="center" wrapText="1"/>
    </xf>
    <xf numFmtId="49" fontId="8" fillId="2" borderId="13" xfId="2" applyNumberFormat="1" applyFont="1" applyFill="1" applyBorder="1" applyAlignment="1">
      <alignment horizontal="center" vertical="center" wrapText="1"/>
    </xf>
    <xf numFmtId="4" fontId="8" fillId="20" borderId="55" xfId="2" applyNumberFormat="1" applyFont="1" applyFill="1" applyBorder="1" applyAlignment="1">
      <alignment horizontal="center" vertical="center" wrapText="1"/>
    </xf>
    <xf numFmtId="4" fontId="8" fillId="0" borderId="13" xfId="2" applyNumberFormat="1" applyFont="1" applyFill="1" applyBorder="1" applyAlignment="1">
      <alignment horizontal="center" vertical="center" wrapText="1"/>
    </xf>
    <xf numFmtId="49" fontId="8" fillId="2" borderId="73" xfId="2" applyNumberFormat="1" applyFont="1" applyFill="1" applyBorder="1" applyAlignment="1">
      <alignment horizontal="center" vertical="center" wrapText="1"/>
    </xf>
    <xf numFmtId="0" fontId="16" fillId="2" borderId="21" xfId="2" applyFont="1" applyFill="1" applyBorder="1" applyAlignment="1">
      <alignment vertical="center" wrapText="1"/>
    </xf>
    <xf numFmtId="0" fontId="8" fillId="20" borderId="2" xfId="2" applyFont="1" applyFill="1" applyBorder="1" applyAlignment="1">
      <alignment horizontal="left" vertical="center" wrapText="1"/>
    </xf>
    <xf numFmtId="49" fontId="8" fillId="20" borderId="3" xfId="2" applyNumberFormat="1" applyFont="1" applyFill="1" applyBorder="1" applyAlignment="1">
      <alignment horizontal="center" vertical="center" wrapText="1"/>
    </xf>
    <xf numFmtId="4" fontId="8" fillId="20" borderId="3" xfId="2" applyNumberFormat="1" applyFont="1" applyFill="1" applyBorder="1" applyAlignment="1">
      <alignment horizontal="center" vertical="center" wrapText="1"/>
    </xf>
    <xf numFmtId="0" fontId="8" fillId="20" borderId="4" xfId="2" applyFont="1" applyFill="1" applyBorder="1" applyAlignment="1">
      <alignment vertical="center" wrapText="1"/>
    </xf>
    <xf numFmtId="0" fontId="8" fillId="20" borderId="5" xfId="2" quotePrefix="1" applyFont="1" applyFill="1" applyBorder="1" applyAlignment="1">
      <alignment horizontal="left" vertical="center" wrapText="1"/>
    </xf>
    <xf numFmtId="0" fontId="19" fillId="20" borderId="7" xfId="2" applyFont="1" applyFill="1" applyBorder="1" applyAlignment="1">
      <alignment horizontal="left" vertical="center" wrapText="1"/>
    </xf>
    <xf numFmtId="49" fontId="8" fillId="20" borderId="8" xfId="2" applyNumberFormat="1" applyFont="1" applyFill="1" applyBorder="1" applyAlignment="1">
      <alignment horizontal="center" vertical="center" wrapText="1"/>
    </xf>
    <xf numFmtId="4" fontId="8" fillId="20" borderId="8" xfId="2" applyNumberFormat="1" applyFont="1" applyFill="1" applyBorder="1" applyAlignment="1">
      <alignment horizontal="center" vertical="center" wrapText="1"/>
    </xf>
    <xf numFmtId="0" fontId="8" fillId="20" borderId="71" xfId="2" applyFont="1" applyFill="1" applyBorder="1" applyAlignment="1">
      <alignment vertical="center" wrapText="1"/>
    </xf>
    <xf numFmtId="0" fontId="62" fillId="0" borderId="1" xfId="2" applyFont="1" applyFill="1" applyBorder="1" applyAlignment="1">
      <alignment horizontal="left" vertical="center"/>
    </xf>
    <xf numFmtId="49" fontId="16" fillId="2" borderId="5"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2" fontId="72" fillId="2" borderId="1" xfId="49" applyNumberFormat="1" applyFont="1" applyFill="1" applyBorder="1" applyAlignment="1">
      <alignment horizontal="center" vertical="center"/>
    </xf>
    <xf numFmtId="2" fontId="62" fillId="2" borderId="20" xfId="49" applyNumberFormat="1" applyFont="1" applyFill="1" applyBorder="1" applyAlignment="1">
      <alignment horizontal="center" vertical="center"/>
    </xf>
    <xf numFmtId="2" fontId="12" fillId="2" borderId="21" xfId="49" applyNumberFormat="1" applyFont="1" applyFill="1" applyBorder="1" applyAlignment="1">
      <alignment horizontal="center" vertical="center"/>
    </xf>
    <xf numFmtId="49" fontId="62" fillId="20" borderId="5" xfId="56" applyNumberFormat="1" applyFont="1" applyFill="1" applyBorder="1" applyAlignment="1">
      <alignment horizontal="center" vertical="center" wrapText="1"/>
    </xf>
    <xf numFmtId="49" fontId="16" fillId="20" borderId="1" xfId="56" applyNumberFormat="1" applyFont="1" applyFill="1" applyBorder="1" applyAlignment="1">
      <alignment horizontal="center" vertical="center" wrapText="1"/>
    </xf>
    <xf numFmtId="49" fontId="16" fillId="20" borderId="56" xfId="56" applyNumberFormat="1" applyFont="1" applyFill="1" applyBorder="1" applyAlignment="1">
      <alignment horizontal="center" vertical="center" wrapText="1"/>
    </xf>
    <xf numFmtId="0" fontId="16" fillId="20" borderId="22" xfId="56" applyFont="1" applyFill="1" applyBorder="1" applyAlignment="1">
      <alignment horizontal="left" vertical="center" wrapText="1"/>
    </xf>
    <xf numFmtId="1" fontId="12" fillId="20" borderId="1" xfId="49" applyNumberFormat="1" applyFont="1" applyFill="1" applyBorder="1" applyAlignment="1">
      <alignment horizontal="center" vertical="center"/>
    </xf>
    <xf numFmtId="1" fontId="8" fillId="20" borderId="1" xfId="49" applyNumberFormat="1" applyFont="1" applyFill="1" applyBorder="1" applyAlignment="1">
      <alignment horizontal="center" vertical="center"/>
    </xf>
    <xf numFmtId="164" fontId="2" fillId="0" borderId="1" xfId="0" applyNumberFormat="1" applyFont="1" applyBorder="1" applyAlignment="1">
      <alignment vertical="center" wrapText="1"/>
    </xf>
    <xf numFmtId="4" fontId="8" fillId="21" borderId="1" xfId="2" applyNumberFormat="1" applyFont="1" applyFill="1" applyBorder="1" applyAlignment="1">
      <alignment horizontal="center" vertical="center" wrapText="1"/>
    </xf>
    <xf numFmtId="4" fontId="8" fillId="20" borderId="12" xfId="2" applyNumberFormat="1" applyFont="1" applyFill="1" applyBorder="1" applyAlignment="1">
      <alignment horizontal="center" vertical="center" wrapText="1"/>
    </xf>
    <xf numFmtId="0" fontId="16" fillId="20" borderId="6" xfId="2" quotePrefix="1" applyFont="1" applyFill="1" applyBorder="1" applyAlignment="1">
      <alignment vertical="center" wrapText="1"/>
    </xf>
    <xf numFmtId="49" fontId="16" fillId="20" borderId="22" xfId="2" applyNumberFormat="1" applyFont="1" applyFill="1" applyBorder="1" applyAlignment="1">
      <alignment horizontal="center" vertical="center" wrapText="1"/>
    </xf>
    <xf numFmtId="49" fontId="16" fillId="20" borderId="56" xfId="2" applyNumberFormat="1" applyFont="1" applyFill="1" applyBorder="1" applyAlignment="1">
      <alignment horizontal="center" vertical="center" wrapText="1"/>
    </xf>
    <xf numFmtId="49" fontId="16" fillId="20" borderId="5" xfId="2" applyNumberFormat="1" applyFont="1" applyFill="1" applyBorder="1" applyAlignment="1">
      <alignment horizontal="center" vertical="center" wrapText="1"/>
    </xf>
    <xf numFmtId="0" fontId="12" fillId="0" borderId="1" xfId="2" applyFont="1" applyFill="1" applyBorder="1" applyAlignment="1">
      <alignment wrapText="1"/>
    </xf>
    <xf numFmtId="170" fontId="2" fillId="0" borderId="1" xfId="0" applyNumberFormat="1" applyFont="1" applyFill="1" applyBorder="1" applyAlignment="1">
      <alignment horizontal="right" vertical="center"/>
    </xf>
    <xf numFmtId="170" fontId="2" fillId="0" borderId="1" xfId="0" applyNumberFormat="1" applyFont="1" applyFill="1" applyBorder="1" applyAlignment="1">
      <alignment horizontal="right" vertical="center" wrapText="1"/>
    </xf>
    <xf numFmtId="0" fontId="16" fillId="20" borderId="6" xfId="2" applyFont="1" applyFill="1" applyBorder="1" applyAlignment="1">
      <alignment horizontal="center"/>
    </xf>
    <xf numFmtId="0" fontId="16" fillId="20" borderId="5" xfId="2" applyFont="1" applyFill="1" applyBorder="1" applyAlignment="1">
      <alignment horizontal="center" vertical="center"/>
    </xf>
    <xf numFmtId="0" fontId="16" fillId="21" borderId="0" xfId="2" applyFont="1" applyFill="1"/>
    <xf numFmtId="0" fontId="16" fillId="0" borderId="1" xfId="2" applyFont="1" applyFill="1" applyBorder="1"/>
    <xf numFmtId="164" fontId="3" fillId="0" borderId="71" xfId="0" applyNumberFormat="1" applyFont="1" applyFill="1" applyBorder="1" applyAlignment="1">
      <alignment horizontal="right"/>
    </xf>
    <xf numFmtId="49" fontId="8" fillId="20" borderId="60" xfId="2" applyNumberFormat="1" applyFont="1" applyFill="1" applyBorder="1" applyAlignment="1">
      <alignment horizontal="center" vertical="center" wrapText="1"/>
    </xf>
    <xf numFmtId="4" fontId="8" fillId="0" borderId="3" xfId="2" applyNumberFormat="1" applyFont="1" applyFill="1" applyBorder="1" applyAlignment="1">
      <alignment horizontal="center" vertical="center" wrapText="1"/>
    </xf>
    <xf numFmtId="0" fontId="16" fillId="20" borderId="5" xfId="2" applyFont="1" applyFill="1" applyBorder="1" applyAlignment="1">
      <alignment horizontal="center" vertical="center"/>
    </xf>
    <xf numFmtId="14" fontId="16" fillId="0" borderId="1" xfId="2" applyNumberFormat="1" applyFont="1" applyFill="1" applyBorder="1" applyAlignment="1">
      <alignment horizontal="center" vertical="center" wrapText="1"/>
    </xf>
    <xf numFmtId="1" fontId="12" fillId="0" borderId="56" xfId="2" applyNumberFormat="1" applyFont="1" applyFill="1" applyBorder="1" applyAlignment="1">
      <alignment horizontal="center" vertical="center"/>
    </xf>
    <xf numFmtId="164" fontId="3" fillId="0" borderId="1" xfId="0" applyNumberFormat="1" applyFont="1" applyFill="1" applyBorder="1" applyAlignment="1">
      <alignment horizontal="right" vertical="center"/>
    </xf>
    <xf numFmtId="1" fontId="8" fillId="20" borderId="1" xfId="1" applyNumberFormat="1" applyFont="1" applyFill="1" applyBorder="1" applyAlignment="1">
      <alignment horizontal="center" vertical="center"/>
    </xf>
    <xf numFmtId="0" fontId="16" fillId="20" borderId="6" xfId="2" applyFont="1" applyFill="1" applyBorder="1" applyAlignment="1">
      <alignment horizontal="center"/>
    </xf>
    <xf numFmtId="0" fontId="16" fillId="20" borderId="5" xfId="2" applyFont="1" applyFill="1" applyBorder="1" applyAlignment="1">
      <alignment horizontal="center" vertical="center"/>
    </xf>
    <xf numFmtId="0" fontId="8" fillId="21" borderId="6" xfId="2" applyFont="1" applyFill="1" applyBorder="1" applyAlignment="1">
      <alignment vertical="center" wrapText="1"/>
    </xf>
    <xf numFmtId="0" fontId="8" fillId="0" borderId="5" xfId="2" applyFont="1" applyFill="1" applyBorder="1" applyAlignment="1">
      <alignment horizontal="left" vertical="center" wrapText="1"/>
    </xf>
    <xf numFmtId="49" fontId="8" fillId="0" borderId="1" xfId="2" applyNumberFormat="1" applyFont="1" applyFill="1" applyBorder="1" applyAlignment="1">
      <alignment horizontal="center" vertical="center" wrapText="1"/>
    </xf>
    <xf numFmtId="0" fontId="101" fillId="0" borderId="0" xfId="0" applyFont="1" applyAlignment="1">
      <alignment horizontal="center"/>
    </xf>
    <xf numFmtId="4" fontId="101" fillId="0" borderId="0" xfId="0" applyNumberFormat="1" applyFont="1" applyAlignment="1">
      <alignment horizontal="center" wrapText="1"/>
    </xf>
    <xf numFmtId="4" fontId="101" fillId="0" borderId="0" xfId="0" applyNumberFormat="1" applyFont="1" applyAlignment="1">
      <alignment horizontal="center"/>
    </xf>
    <xf numFmtId="4" fontId="0" fillId="0" borderId="0" xfId="0" applyNumberFormat="1" applyAlignment="1">
      <alignment wrapText="1"/>
    </xf>
    <xf numFmtId="4" fontId="0" fillId="0" borderId="0" xfId="0" applyNumberFormat="1"/>
    <xf numFmtId="0" fontId="103" fillId="0" borderId="0" xfId="0" applyFont="1"/>
    <xf numFmtId="0" fontId="104" fillId="0" borderId="0" xfId="2" applyFont="1" applyAlignment="1">
      <alignment horizontal="center" vertical="center" wrapText="1"/>
    </xf>
    <xf numFmtId="0" fontId="16" fillId="0" borderId="6" xfId="56" applyFont="1" applyFill="1" applyBorder="1" applyAlignment="1">
      <alignment vertical="center" wrapText="1"/>
    </xf>
    <xf numFmtId="4" fontId="8" fillId="0" borderId="55" xfId="2" applyNumberFormat="1" applyFont="1" applyFill="1" applyBorder="1" applyAlignment="1">
      <alignment horizontal="center" vertical="center" wrapText="1"/>
    </xf>
    <xf numFmtId="0" fontId="2" fillId="0" borderId="1" xfId="0" applyFont="1" applyBorder="1" applyAlignment="1">
      <alignment wrapText="1"/>
    </xf>
    <xf numFmtId="0" fontId="62" fillId="2" borderId="5" xfId="56" applyFont="1" applyFill="1" applyBorder="1" applyAlignment="1">
      <alignment horizontal="left" vertical="center" wrapText="1"/>
    </xf>
    <xf numFmtId="2" fontId="20" fillId="0" borderId="0" xfId="56" applyNumberFormat="1" applyFont="1" applyFill="1" applyBorder="1" applyAlignment="1" applyProtection="1"/>
    <xf numFmtId="2" fontId="20" fillId="2" borderId="0" xfId="56" applyNumberFormat="1" applyFont="1" applyFill="1" applyBorder="1" applyAlignment="1" applyProtection="1"/>
    <xf numFmtId="0" fontId="60" fillId="2" borderId="0" xfId="56" applyNumberFormat="1" applyFont="1" applyFill="1" applyBorder="1" applyAlignment="1" applyProtection="1"/>
    <xf numFmtId="0" fontId="16" fillId="2" borderId="0" xfId="56" applyNumberFormat="1" applyFont="1" applyFill="1" applyBorder="1" applyAlignment="1" applyProtection="1"/>
    <xf numFmtId="1" fontId="12" fillId="2" borderId="14" xfId="49" applyNumberFormat="1" applyFont="1" applyFill="1" applyBorder="1" applyAlignment="1">
      <alignment horizontal="center" vertical="center"/>
    </xf>
    <xf numFmtId="1" fontId="12" fillId="2" borderId="71" xfId="49" applyNumberFormat="1" applyFont="1" applyFill="1" applyBorder="1" applyAlignment="1">
      <alignment horizontal="center" vertical="center"/>
    </xf>
    <xf numFmtId="4" fontId="95" fillId="0" borderId="0" xfId="0" applyNumberFormat="1" applyFont="1" applyAlignment="1">
      <alignment wrapText="1"/>
    </xf>
    <xf numFmtId="4" fontId="100" fillId="0" borderId="0" xfId="0" applyNumberFormat="1" applyFont="1"/>
    <xf numFmtId="4" fontId="95" fillId="0" borderId="0" xfId="0" applyNumberFormat="1" applyFont="1"/>
    <xf numFmtId="0" fontId="100" fillId="0" borderId="1" xfId="0" applyFont="1" applyBorder="1" applyAlignment="1">
      <alignment horizontal="center" vertical="center"/>
    </xf>
    <xf numFmtId="4" fontId="100" fillId="0" borderId="1" xfId="0" applyNumberFormat="1" applyFont="1" applyBorder="1" applyAlignment="1">
      <alignment horizontal="center" vertical="center" wrapText="1"/>
    </xf>
    <xf numFmtId="4" fontId="100" fillId="0" borderId="1" xfId="0" applyNumberFormat="1" applyFont="1" applyBorder="1" applyAlignment="1">
      <alignment horizontal="center" vertical="center"/>
    </xf>
    <xf numFmtId="0" fontId="95" fillId="0" borderId="1" xfId="0" applyFont="1" applyBorder="1" applyAlignment="1">
      <alignment vertical="center"/>
    </xf>
    <xf numFmtId="4" fontId="95" fillId="0" borderId="1" xfId="0" applyNumberFormat="1" applyFont="1" applyBorder="1" applyAlignment="1">
      <alignment vertical="center" wrapText="1"/>
    </xf>
    <xf numFmtId="4" fontId="95" fillId="0" borderId="1" xfId="0" applyNumberFormat="1" applyFont="1" applyBorder="1" applyAlignment="1">
      <alignment vertical="center"/>
    </xf>
    <xf numFmtId="4" fontId="100" fillId="20" borderId="1" xfId="0" applyNumberFormat="1" applyFont="1" applyFill="1" applyBorder="1" applyAlignment="1">
      <alignment vertical="center"/>
    </xf>
    <xf numFmtId="4" fontId="95" fillId="0" borderId="0" xfId="0" applyNumberFormat="1" applyFont="1" applyAlignment="1">
      <alignment vertical="center"/>
    </xf>
    <xf numFmtId="4" fontId="95" fillId="0" borderId="0" xfId="0" applyNumberFormat="1" applyFont="1" applyAlignment="1">
      <alignment horizontal="left" vertical="center"/>
    </xf>
    <xf numFmtId="3" fontId="95" fillId="0" borderId="1" xfId="0" applyNumberFormat="1" applyFont="1" applyBorder="1" applyAlignment="1">
      <alignment vertical="center"/>
    </xf>
    <xf numFmtId="0" fontId="16" fillId="0" borderId="6" xfId="2" applyFont="1" applyFill="1" applyBorder="1" applyAlignment="1">
      <alignment horizontal="center"/>
    </xf>
    <xf numFmtId="0" fontId="62" fillId="0" borderId="5" xfId="2" applyFont="1" applyFill="1" applyBorder="1" applyAlignment="1">
      <alignment horizontal="center" vertical="center"/>
    </xf>
    <xf numFmtId="0" fontId="16" fillId="0" borderId="22" xfId="2" applyFont="1" applyFill="1" applyBorder="1" applyAlignment="1">
      <alignment horizontal="center" vertical="top" wrapText="1"/>
    </xf>
    <xf numFmtId="0" fontId="16" fillId="0" borderId="12" xfId="2" applyFont="1" applyFill="1" applyBorder="1" applyAlignment="1">
      <alignment horizontal="center" vertical="top" wrapText="1"/>
    </xf>
    <xf numFmtId="0" fontId="16" fillId="0" borderId="14" xfId="2" applyFont="1" applyFill="1" applyBorder="1" applyAlignment="1">
      <alignment horizontal="center" vertical="top" wrapText="1"/>
    </xf>
    <xf numFmtId="0" fontId="12" fillId="0" borderId="19" xfId="2" applyFont="1" applyFill="1" applyBorder="1" applyAlignment="1">
      <alignment horizontal="center" vertical="center"/>
    </xf>
    <xf numFmtId="164" fontId="12" fillId="0" borderId="21" xfId="2" applyNumberFormat="1" applyFont="1" applyFill="1" applyBorder="1" applyAlignment="1">
      <alignment horizontal="center" vertical="center"/>
    </xf>
    <xf numFmtId="0" fontId="16" fillId="0" borderId="40" xfId="2" applyFont="1" applyFill="1" applyBorder="1" applyAlignment="1"/>
    <xf numFmtId="0" fontId="62" fillId="0" borderId="40" xfId="2" applyFont="1" applyFill="1" applyBorder="1" applyAlignment="1"/>
    <xf numFmtId="164" fontId="62" fillId="0" borderId="42" xfId="2" applyNumberFormat="1" applyFont="1" applyFill="1" applyBorder="1" applyAlignment="1">
      <alignment horizontal="center" vertical="center"/>
    </xf>
    <xf numFmtId="0" fontId="16" fillId="20" borderId="48" xfId="2" applyFont="1" applyFill="1" applyBorder="1" applyAlignment="1"/>
    <xf numFmtId="164" fontId="62" fillId="20" borderId="50" xfId="2" applyNumberFormat="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wrapText="1"/>
    </xf>
    <xf numFmtId="0" fontId="12" fillId="0" borderId="12" xfId="1" applyFont="1" applyFill="1" applyBorder="1" applyAlignment="1">
      <alignment horizontal="center" vertical="center"/>
    </xf>
    <xf numFmtId="4" fontId="94" fillId="0" borderId="0" xfId="2" applyNumberFormat="1" applyFont="1" applyAlignment="1">
      <alignment vertical="center" wrapText="1"/>
    </xf>
    <xf numFmtId="0" fontId="12" fillId="20" borderId="0" xfId="2" applyFont="1" applyFill="1" applyBorder="1" applyAlignment="1">
      <alignment horizontal="center"/>
    </xf>
    <xf numFmtId="164" fontId="12" fillId="20" borderId="0" xfId="2" applyNumberFormat="1" applyFont="1" applyFill="1" applyBorder="1" applyAlignment="1">
      <alignment horizontal="center"/>
    </xf>
    <xf numFmtId="0" fontId="12" fillId="20" borderId="0" xfId="2" applyFont="1" applyFill="1" applyBorder="1" applyAlignment="1">
      <alignment horizontal="left" vertical="center"/>
    </xf>
    <xf numFmtId="164" fontId="12" fillId="20" borderId="22" xfId="2" applyNumberFormat="1" applyFont="1" applyFill="1" applyBorder="1" applyAlignment="1">
      <alignment horizontal="center" vertical="center"/>
    </xf>
    <xf numFmtId="164" fontId="12" fillId="20" borderId="12" xfId="2" applyNumberFormat="1" applyFont="1" applyFill="1" applyBorder="1" applyAlignment="1">
      <alignment horizontal="center" vertical="center"/>
    </xf>
    <xf numFmtId="164" fontId="12" fillId="20" borderId="14" xfId="2" applyNumberFormat="1" applyFont="1" applyFill="1" applyBorder="1" applyAlignment="1">
      <alignment horizontal="center"/>
    </xf>
    <xf numFmtId="0" fontId="12" fillId="20" borderId="16" xfId="2" applyFont="1" applyFill="1" applyBorder="1" applyAlignment="1">
      <alignment horizontal="center"/>
    </xf>
    <xf numFmtId="0" fontId="12" fillId="20" borderId="17" xfId="2" applyFont="1" applyFill="1" applyBorder="1" applyAlignment="1">
      <alignment horizontal="left" vertical="center"/>
    </xf>
    <xf numFmtId="164" fontId="12" fillId="20" borderId="18" xfId="2" applyNumberFormat="1" applyFont="1" applyFill="1" applyBorder="1" applyAlignment="1">
      <alignment horizontal="center"/>
    </xf>
    <xf numFmtId="164" fontId="16" fillId="0" borderId="1" xfId="2" applyNumberFormat="1" applyFont="1" applyFill="1" applyBorder="1"/>
    <xf numFmtId="0" fontId="12" fillId="20" borderId="0" xfId="2" applyFont="1" applyFill="1" applyBorder="1" applyAlignment="1">
      <alignment horizontal="center" vertical="center"/>
    </xf>
    <xf numFmtId="0" fontId="12" fillId="20" borderId="0" xfId="2" applyFont="1" applyFill="1" applyBorder="1" applyAlignment="1">
      <alignment horizontal="left"/>
    </xf>
    <xf numFmtId="0" fontId="16" fillId="0" borderId="1" xfId="2" applyFont="1" applyBorder="1" applyAlignment="1">
      <alignment vertical="center" wrapText="1"/>
    </xf>
    <xf numFmtId="49" fontId="16" fillId="0" borderId="1" xfId="2" applyNumberFormat="1" applyFont="1" applyBorder="1" applyAlignment="1">
      <alignment horizontal="center" vertical="center" wrapText="1"/>
    </xf>
    <xf numFmtId="4" fontId="16" fillId="0" borderId="1" xfId="2" applyNumberFormat="1" applyFont="1" applyBorder="1" applyAlignment="1">
      <alignment horizontal="right" vertical="center" wrapText="1"/>
    </xf>
    <xf numFmtId="4" fontId="16" fillId="0" borderId="1" xfId="2" applyNumberFormat="1" applyFont="1" applyBorder="1" applyAlignment="1">
      <alignment vertical="center" wrapText="1"/>
    </xf>
    <xf numFmtId="1" fontId="8" fillId="0" borderId="5" xfId="2" applyNumberFormat="1" applyFont="1" applyFill="1" applyBorder="1" applyAlignment="1">
      <alignment horizontal="left"/>
    </xf>
    <xf numFmtId="4" fontId="16" fillId="0" borderId="1" xfId="2" applyNumberFormat="1" applyFont="1" applyFill="1" applyBorder="1" applyAlignment="1">
      <alignment horizontal="right" vertical="center" wrapText="1"/>
    </xf>
    <xf numFmtId="1" fontId="12" fillId="0" borderId="5" xfId="2" applyNumberFormat="1" applyFont="1" applyFill="1" applyBorder="1" applyAlignment="1">
      <alignment horizontal="center" vertical="center"/>
    </xf>
    <xf numFmtId="164" fontId="62" fillId="0" borderId="6" xfId="2" applyNumberFormat="1" applyFont="1" applyFill="1" applyBorder="1" applyAlignment="1">
      <alignment horizontal="center" vertical="center"/>
    </xf>
    <xf numFmtId="4" fontId="94" fillId="0" borderId="0" xfId="2" applyNumberFormat="1" applyFont="1" applyAlignment="1">
      <alignment horizontal="center" vertical="center" wrapText="1"/>
    </xf>
    <xf numFmtId="1" fontId="11" fillId="20" borderId="1" xfId="2" applyNumberFormat="1" applyFont="1" applyFill="1" applyBorder="1" applyAlignment="1">
      <alignment horizontal="center" vertical="center"/>
    </xf>
    <xf numFmtId="0" fontId="2" fillId="0" borderId="1" xfId="0" applyFont="1" applyFill="1" applyBorder="1" applyAlignment="1">
      <alignment vertical="center" wrapText="1"/>
    </xf>
    <xf numFmtId="2" fontId="50" fillId="0" borderId="0" xfId="2" applyNumberFormat="1" applyFont="1" applyAlignment="1">
      <alignment vertical="center"/>
    </xf>
    <xf numFmtId="0" fontId="67" fillId="2" borderId="12" xfId="56" applyNumberFormat="1" applyFont="1" applyFill="1" applyBorder="1" applyAlignment="1" applyProtection="1">
      <alignment horizontal="center" vertical="center" wrapText="1"/>
    </xf>
    <xf numFmtId="0" fontId="65" fillId="2" borderId="12" xfId="56"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 fontId="62" fillId="2" borderId="6" xfId="49" applyNumberFormat="1" applyFont="1" applyFill="1" applyBorder="1" applyAlignment="1">
      <alignment horizontal="center" vertical="center"/>
    </xf>
    <xf numFmtId="164" fontId="3" fillId="0" borderId="6" xfId="0" applyNumberFormat="1" applyFont="1" applyFill="1" applyBorder="1" applyAlignment="1">
      <alignment horizontal="right" vertical="center"/>
    </xf>
    <xf numFmtId="4" fontId="16" fillId="20" borderId="54" xfId="2" applyNumberFormat="1" applyFont="1" applyFill="1" applyBorder="1" applyAlignment="1">
      <alignment horizontal="center" vertical="center" wrapText="1"/>
    </xf>
    <xf numFmtId="0" fontId="16" fillId="0" borderId="0" xfId="1" applyFont="1" applyFill="1" applyAlignment="1">
      <alignment horizontal="left"/>
    </xf>
    <xf numFmtId="1" fontId="25" fillId="0" borderId="0" xfId="2" applyNumberFormat="1" applyFont="1" applyBorder="1" applyAlignment="1">
      <alignment horizontal="center" vertical="center" wrapText="1"/>
    </xf>
    <xf numFmtId="0" fontId="25" fillId="0" borderId="0" xfId="2" applyFont="1" applyBorder="1" applyAlignment="1">
      <alignment horizontal="center" vertical="center" wrapText="1"/>
    </xf>
    <xf numFmtId="0" fontId="12" fillId="0" borderId="0" xfId="1" applyFont="1" applyAlignment="1">
      <alignment horizontal="center" vertical="center"/>
    </xf>
    <xf numFmtId="0" fontId="13" fillId="0" borderId="0" xfId="1" applyFont="1" applyFill="1" applyBorder="1" applyAlignment="1">
      <alignment horizontal="center" vertical="center" wrapText="1"/>
    </xf>
    <xf numFmtId="0" fontId="12" fillId="0" borderId="9"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10" xfId="1" applyFont="1" applyFill="1" applyBorder="1" applyAlignment="1">
      <alignment horizontal="center" vertical="center" wrapText="1"/>
    </xf>
    <xf numFmtId="0" fontId="9" fillId="0" borderId="0" xfId="1" applyFont="1" applyBorder="1"/>
    <xf numFmtId="0" fontId="12" fillId="0" borderId="3"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wrapText="1"/>
    </xf>
    <xf numFmtId="0" fontId="12" fillId="0" borderId="4" xfId="1" applyFont="1" applyFill="1" applyBorder="1" applyAlignment="1">
      <alignment horizontal="center" vertical="center"/>
    </xf>
    <xf numFmtId="0" fontId="46" fillId="0" borderId="40" xfId="2" applyFont="1" applyBorder="1" applyAlignment="1">
      <alignment horizontal="center" vertical="distributed" wrapText="1"/>
    </xf>
    <xf numFmtId="0" fontId="46" fillId="0" borderId="41" xfId="2" applyFont="1" applyBorder="1" applyAlignment="1">
      <alignment horizontal="center" vertical="distributed" wrapText="1"/>
    </xf>
    <xf numFmtId="0" fontId="46" fillId="0" borderId="42" xfId="2" applyFont="1" applyBorder="1" applyAlignment="1">
      <alignment horizontal="center" vertical="distributed" wrapText="1"/>
    </xf>
    <xf numFmtId="0" fontId="8" fillId="0" borderId="0" xfId="1" applyFont="1" applyAlignment="1">
      <alignment horizontal="left"/>
    </xf>
    <xf numFmtId="0" fontId="46" fillId="0" borderId="0" xfId="2" applyFont="1" applyAlignment="1">
      <alignment horizontal="left" vertical="top"/>
    </xf>
    <xf numFmtId="0" fontId="46" fillId="0" borderId="0" xfId="2" applyFont="1" applyAlignment="1">
      <alignment horizontal="center" vertical="center"/>
    </xf>
    <xf numFmtId="0" fontId="46" fillId="0" borderId="0" xfId="2" applyFont="1" applyAlignment="1">
      <alignment horizontal="center"/>
    </xf>
    <xf numFmtId="0" fontId="46" fillId="0" borderId="30" xfId="2" applyFont="1" applyBorder="1" applyAlignment="1">
      <alignment horizontal="center" vertical="center" wrapText="1"/>
    </xf>
    <xf numFmtId="0" fontId="46" fillId="0" borderId="34" xfId="2" applyFont="1" applyBorder="1" applyAlignment="1">
      <alignment horizontal="center" vertical="center" wrapText="1"/>
    </xf>
    <xf numFmtId="0" fontId="46" fillId="0" borderId="31" xfId="2" applyFont="1" applyBorder="1" applyAlignment="1">
      <alignment horizontal="center" vertical="center" wrapText="1"/>
    </xf>
    <xf numFmtId="0" fontId="46" fillId="0" borderId="35" xfId="2" applyFont="1" applyBorder="1" applyAlignment="1">
      <alignment horizontal="center" vertical="center" wrapText="1"/>
    </xf>
    <xf numFmtId="0" fontId="46" fillId="0" borderId="32" xfId="2" applyFont="1" applyBorder="1" applyAlignment="1">
      <alignment horizontal="center" vertical="center" wrapText="1"/>
    </xf>
    <xf numFmtId="0" fontId="46" fillId="0" borderId="36" xfId="2" applyFont="1" applyBorder="1" applyAlignment="1">
      <alignment horizontal="center" vertical="center" wrapText="1"/>
    </xf>
    <xf numFmtId="0" fontId="46" fillId="0" borderId="33" xfId="2" applyFont="1" applyBorder="1" applyAlignment="1">
      <alignment horizontal="center" vertical="center" wrapText="1"/>
    </xf>
    <xf numFmtId="0" fontId="46" fillId="0" borderId="37" xfId="2" applyFont="1" applyBorder="1" applyAlignment="1">
      <alignment horizontal="center" vertical="center" wrapText="1"/>
    </xf>
    <xf numFmtId="0" fontId="46" fillId="0" borderId="16" xfId="2" applyFont="1" applyBorder="1" applyAlignment="1">
      <alignment horizontal="center" vertical="center" wrapText="1"/>
    </xf>
    <xf numFmtId="0" fontId="46" fillId="0" borderId="18" xfId="2" applyFont="1" applyBorder="1" applyAlignment="1">
      <alignment horizontal="center" vertical="center" wrapText="1"/>
    </xf>
    <xf numFmtId="0" fontId="67" fillId="2" borderId="1"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65" fillId="2" borderId="1" xfId="56" applyNumberFormat="1" applyFont="1" applyFill="1" applyBorder="1" applyAlignment="1" applyProtection="1">
      <alignment horizontal="center" vertical="center" wrapText="1"/>
    </xf>
    <xf numFmtId="0" fontId="65" fillId="2" borderId="12" xfId="56" applyNumberFormat="1" applyFont="1" applyFill="1" applyBorder="1" applyAlignment="1" applyProtection="1">
      <alignment horizontal="center" vertical="center" wrapText="1"/>
    </xf>
    <xf numFmtId="0" fontId="68" fillId="0" borderId="13" xfId="2" applyFont="1" applyBorder="1" applyAlignment="1">
      <alignment horizontal="center" vertical="center" wrapText="1"/>
    </xf>
    <xf numFmtId="0" fontId="16" fillId="0" borderId="0" xfId="1" applyFont="1" applyAlignment="1">
      <alignment horizontal="left"/>
    </xf>
    <xf numFmtId="0" fontId="61" fillId="0" borderId="0" xfId="56" applyNumberFormat="1" applyFont="1" applyFill="1" applyBorder="1" applyAlignment="1" applyProtection="1">
      <alignment horizontal="center" vertical="top" wrapText="1"/>
    </xf>
    <xf numFmtId="0" fontId="63" fillId="2" borderId="9" xfId="56" applyNumberFormat="1" applyFont="1" applyFill="1" applyBorder="1" applyAlignment="1" applyProtection="1">
      <alignment horizontal="center" vertical="center" wrapText="1"/>
    </xf>
    <xf numFmtId="0" fontId="63" fillId="2" borderId="11" xfId="56" applyNumberFormat="1" applyFont="1" applyFill="1" applyBorder="1" applyAlignment="1" applyProtection="1">
      <alignment horizontal="center" vertical="center" wrapText="1"/>
    </xf>
    <xf numFmtId="0" fontId="63" fillId="2" borderId="10" xfId="56" applyNumberFormat="1" applyFont="1" applyFill="1" applyBorder="1" applyAlignment="1" applyProtection="1">
      <alignment horizontal="center" vertical="center" wrapText="1"/>
    </xf>
    <xf numFmtId="0" fontId="66" fillId="0" borderId="13" xfId="2" applyFont="1" applyBorder="1" applyAlignment="1">
      <alignment horizontal="center" vertical="center" wrapText="1"/>
    </xf>
    <xf numFmtId="0" fontId="63" fillId="2" borderId="72" xfId="56" applyNumberFormat="1" applyFont="1" applyFill="1" applyBorder="1" applyAlignment="1" applyProtection="1">
      <alignment horizontal="center" vertical="center" wrapText="1"/>
    </xf>
    <xf numFmtId="0" fontId="66" fillId="0" borderId="55" xfId="2" applyFont="1" applyBorder="1" applyAlignment="1">
      <alignment horizontal="center" vertical="center" wrapText="1"/>
    </xf>
    <xf numFmtId="0" fontId="65" fillId="2" borderId="9" xfId="56" applyNumberFormat="1" applyFont="1" applyFill="1" applyBorder="1" applyAlignment="1" applyProtection="1">
      <alignment horizontal="center" vertical="center" wrapText="1"/>
    </xf>
    <xf numFmtId="0" fontId="65" fillId="2" borderId="11" xfId="56" applyNumberFormat="1" applyFont="1" applyFill="1" applyBorder="1" applyAlignment="1" applyProtection="1">
      <alignment horizontal="center" vertical="center" wrapText="1"/>
    </xf>
    <xf numFmtId="0" fontId="65" fillId="2" borderId="3" xfId="56" applyNumberFormat="1" applyFont="1" applyFill="1" applyBorder="1" applyAlignment="1" applyProtection="1">
      <alignment horizontal="center" vertical="center" wrapText="1"/>
    </xf>
    <xf numFmtId="0" fontId="65" fillId="2" borderId="15" xfId="56" applyNumberFormat="1" applyFont="1" applyFill="1" applyBorder="1" applyAlignment="1" applyProtection="1">
      <alignment horizontal="center" vertical="center" wrapText="1"/>
    </xf>
    <xf numFmtId="0" fontId="65" fillId="2" borderId="58" xfId="56" applyNumberFormat="1" applyFont="1" applyFill="1" applyBorder="1" applyAlignment="1" applyProtection="1">
      <alignment horizontal="center" vertical="center" wrapText="1"/>
    </xf>
    <xf numFmtId="0" fontId="67" fillId="2" borderId="56" xfId="56" applyNumberFormat="1" applyFont="1" applyFill="1" applyBorder="1" applyAlignment="1" applyProtection="1">
      <alignment horizontal="center" vertical="center" wrapText="1"/>
    </xf>
    <xf numFmtId="0" fontId="68" fillId="0" borderId="57" xfId="2" applyFont="1" applyBorder="1" applyAlignment="1">
      <alignment horizontal="center" vertical="center" wrapText="1"/>
    </xf>
    <xf numFmtId="0" fontId="8" fillId="0" borderId="32" xfId="2" applyFont="1" applyBorder="1" applyAlignment="1">
      <alignment horizontal="center" vertical="center" textRotation="90" wrapText="1"/>
    </xf>
    <xf numFmtId="0" fontId="8" fillId="0" borderId="36" xfId="2" applyFont="1" applyBorder="1" applyAlignment="1">
      <alignment horizontal="center" vertical="center" textRotation="90" wrapText="1"/>
    </xf>
    <xf numFmtId="0" fontId="75" fillId="0" borderId="0" xfId="2" applyFont="1" applyAlignment="1">
      <alignment horizontal="center" vertical="center"/>
    </xf>
    <xf numFmtId="0" fontId="8" fillId="0" borderId="32" xfId="2" applyFont="1" applyBorder="1" applyAlignment="1">
      <alignment horizontal="center" vertical="center" wrapText="1" readingOrder="1"/>
    </xf>
    <xf numFmtId="0" fontId="8" fillId="0" borderId="52" xfId="2" applyFont="1" applyBorder="1" applyAlignment="1">
      <alignment horizontal="center" vertical="center" wrapText="1" readingOrder="1"/>
    </xf>
    <xf numFmtId="0" fontId="8" fillId="0" borderId="36" xfId="2" applyFont="1" applyBorder="1" applyAlignment="1">
      <alignment horizontal="center" vertical="center" wrapText="1" readingOrder="1"/>
    </xf>
    <xf numFmtId="0" fontId="8" fillId="0" borderId="32" xfId="2" applyFont="1" applyBorder="1" applyAlignment="1">
      <alignment horizontal="center" vertical="center" wrapText="1"/>
    </xf>
    <xf numFmtId="0" fontId="8" fillId="0" borderId="52" xfId="2" applyFont="1" applyBorder="1" applyAlignment="1">
      <alignment horizontal="center" vertical="center" wrapText="1"/>
    </xf>
    <xf numFmtId="0" fontId="8" fillId="0" borderId="36"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42" xfId="2" applyFont="1" applyBorder="1" applyAlignment="1">
      <alignment horizontal="center" vertical="center" wrapText="1"/>
    </xf>
    <xf numFmtId="0" fontId="12" fillId="0" borderId="0" xfId="2" applyFont="1" applyFill="1" applyAlignment="1">
      <alignment horizontal="center"/>
    </xf>
    <xf numFmtId="0" fontId="16" fillId="0" borderId="0" xfId="2" applyFont="1" applyFill="1" applyAlignment="1">
      <alignment horizontal="center"/>
    </xf>
    <xf numFmtId="0" fontId="14" fillId="0" borderId="0" xfId="2" quotePrefix="1" applyFont="1" applyFill="1" applyAlignment="1">
      <alignment horizontal="center"/>
    </xf>
    <xf numFmtId="0" fontId="49" fillId="0" borderId="0" xfId="2" applyFont="1" applyFill="1" applyAlignment="1">
      <alignment horizontal="justify" vertical="center"/>
    </xf>
    <xf numFmtId="0" fontId="15" fillId="0" borderId="0" xfId="2" applyAlignment="1">
      <alignment vertical="center"/>
    </xf>
    <xf numFmtId="166" fontId="57" fillId="0" borderId="31" xfId="2" applyNumberFormat="1" applyFont="1" applyFill="1" applyBorder="1" applyAlignment="1">
      <alignment horizontal="center" vertical="center" wrapText="1"/>
    </xf>
    <xf numFmtId="166" fontId="57" fillId="0" borderId="64" xfId="2" applyNumberFormat="1" applyFont="1" applyFill="1" applyBorder="1" applyAlignment="1">
      <alignment horizontal="center" vertical="center" wrapText="1"/>
    </xf>
    <xf numFmtId="166" fontId="57" fillId="0" borderId="32" xfId="2" applyNumberFormat="1" applyFont="1" applyFill="1" applyBorder="1" applyAlignment="1">
      <alignment horizontal="center" vertical="center" wrapText="1"/>
    </xf>
    <xf numFmtId="166" fontId="57" fillId="0" borderId="36" xfId="2" applyNumberFormat="1" applyFont="1" applyFill="1" applyBorder="1" applyAlignment="1">
      <alignment horizontal="center" vertical="center" wrapText="1"/>
    </xf>
    <xf numFmtId="166" fontId="57" fillId="0" borderId="62" xfId="2" applyNumberFormat="1" applyFont="1" applyFill="1" applyBorder="1" applyAlignment="1">
      <alignment horizontal="center" vertical="center" wrapText="1"/>
    </xf>
    <xf numFmtId="166" fontId="57" fillId="0" borderId="66" xfId="2" applyNumberFormat="1" applyFont="1" applyFill="1" applyBorder="1" applyAlignment="1">
      <alignment horizontal="center" vertical="center" wrapText="1"/>
    </xf>
    <xf numFmtId="0" fontId="77" fillId="0" borderId="0" xfId="1" applyFont="1" applyAlignment="1">
      <alignment horizontal="left"/>
    </xf>
    <xf numFmtId="0" fontId="80" fillId="0" borderId="0" xfId="2" applyFont="1" applyFill="1" applyAlignment="1">
      <alignment horizontal="center" vertical="center" wrapText="1"/>
    </xf>
    <xf numFmtId="0" fontId="62" fillId="0" borderId="0" xfId="56" applyNumberFormat="1" applyFont="1" applyFill="1" applyBorder="1" applyAlignment="1" applyProtection="1">
      <alignment horizontal="center" vertical="top" wrapText="1"/>
    </xf>
    <xf numFmtId="0" fontId="62" fillId="0" borderId="37" xfId="56" applyNumberFormat="1" applyFont="1" applyFill="1" applyBorder="1" applyAlignment="1" applyProtection="1">
      <alignment horizontal="center" vertical="top" wrapText="1"/>
    </xf>
    <xf numFmtId="49" fontId="82" fillId="0" borderId="31" xfId="2" applyNumberFormat="1" applyFont="1" applyFill="1" applyBorder="1" applyAlignment="1">
      <alignment horizontal="center" vertical="center" wrapText="1"/>
    </xf>
    <xf numFmtId="49" fontId="82" fillId="0" borderId="64" xfId="2" applyNumberFormat="1" applyFont="1" applyFill="1" applyBorder="1" applyAlignment="1">
      <alignment horizontal="center" vertical="center" wrapText="1"/>
    </xf>
    <xf numFmtId="49" fontId="82" fillId="0" borderId="32" xfId="2" applyNumberFormat="1" applyFont="1" applyFill="1" applyBorder="1" applyAlignment="1">
      <alignment horizontal="center" vertical="center" wrapText="1"/>
    </xf>
    <xf numFmtId="49" fontId="82" fillId="0" borderId="52" xfId="2" applyNumberFormat="1" applyFont="1" applyFill="1" applyBorder="1" applyAlignment="1">
      <alignment horizontal="center" vertical="center" wrapText="1"/>
    </xf>
    <xf numFmtId="0" fontId="83" fillId="0" borderId="61" xfId="2" applyFont="1" applyFill="1" applyBorder="1" applyAlignment="1">
      <alignment horizontal="center" vertical="center" wrapText="1"/>
    </xf>
    <xf numFmtId="0" fontId="83" fillId="0" borderId="65" xfId="2" applyFont="1" applyFill="1" applyBorder="1" applyAlignment="1">
      <alignment horizontal="center" vertical="center" wrapText="1"/>
    </xf>
    <xf numFmtId="0" fontId="57" fillId="0" borderId="31" xfId="2" applyFont="1" applyFill="1" applyBorder="1" applyAlignment="1">
      <alignment horizontal="center" vertical="center" wrapText="1"/>
    </xf>
    <xf numFmtId="0" fontId="57" fillId="0" borderId="64" xfId="2" applyFont="1" applyFill="1" applyBorder="1" applyAlignment="1">
      <alignment horizontal="center" vertical="center" wrapText="1"/>
    </xf>
    <xf numFmtId="166" fontId="57" fillId="0" borderId="61" xfId="2" applyNumberFormat="1" applyFont="1" applyFill="1" applyBorder="1" applyAlignment="1">
      <alignment horizontal="center" vertical="center" wrapText="1"/>
    </xf>
    <xf numFmtId="166" fontId="57" fillId="0" borderId="65" xfId="2" applyNumberFormat="1" applyFont="1" applyFill="1" applyBorder="1" applyAlignment="1">
      <alignment horizontal="center" vertical="center" wrapText="1"/>
    </xf>
    <xf numFmtId="0" fontId="23" fillId="0" borderId="32" xfId="2" applyFont="1" applyFill="1" applyBorder="1" applyAlignment="1">
      <alignment horizontal="center" vertical="center" wrapText="1"/>
    </xf>
    <xf numFmtId="0" fontId="23" fillId="0" borderId="36" xfId="2" applyFont="1" applyFill="1" applyBorder="1" applyAlignment="1">
      <alignment horizontal="center" vertical="center" wrapText="1"/>
    </xf>
    <xf numFmtId="0" fontId="23" fillId="0" borderId="40" xfId="2" applyFont="1" applyFill="1" applyBorder="1" applyAlignment="1">
      <alignment horizontal="center" vertical="center" wrapText="1"/>
    </xf>
    <xf numFmtId="0" fontId="23" fillId="0" borderId="41" xfId="2" applyFont="1" applyFill="1" applyBorder="1" applyAlignment="1">
      <alignment horizontal="center" vertical="center" wrapText="1"/>
    </xf>
    <xf numFmtId="0" fontId="23" fillId="0" borderId="42" xfId="2"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xf>
    <xf numFmtId="0" fontId="5" fillId="0" borderId="2" xfId="0" applyFont="1" applyBorder="1" applyAlignment="1">
      <alignment horizontal="center" vertical="center" wrapText="1"/>
    </xf>
    <xf numFmtId="0" fontId="2" fillId="0" borderId="5"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2" fillId="2" borderId="51" xfId="2" applyFont="1" applyFill="1" applyBorder="1" applyAlignment="1">
      <alignment horizontal="left" vertical="center"/>
    </xf>
    <xf numFmtId="0" fontId="62" fillId="2" borderId="0" xfId="2" applyFont="1" applyFill="1" applyBorder="1" applyAlignment="1">
      <alignment horizontal="left" vertical="center"/>
    </xf>
    <xf numFmtId="0" fontId="93" fillId="2" borderId="0" xfId="2" applyFont="1" applyFill="1" applyBorder="1" applyAlignment="1">
      <alignment vertical="center"/>
    </xf>
    <xf numFmtId="0" fontId="93" fillId="2" borderId="53" xfId="2" applyFont="1" applyFill="1" applyBorder="1" applyAlignment="1">
      <alignment vertical="center"/>
    </xf>
    <xf numFmtId="0" fontId="62" fillId="0" borderId="0" xfId="2" applyFont="1" applyBorder="1" applyAlignment="1">
      <alignment horizontal="center" vertical="top" wrapText="1"/>
    </xf>
    <xf numFmtId="4" fontId="62" fillId="0" borderId="0" xfId="2" applyNumberFormat="1" applyFont="1" applyBorder="1" applyAlignment="1">
      <alignment horizontal="left" vertical="center" wrapText="1"/>
    </xf>
    <xf numFmtId="0" fontId="93" fillId="0" borderId="0" xfId="2" applyFont="1" applyAlignment="1">
      <alignment vertical="center" wrapText="1"/>
    </xf>
    <xf numFmtId="4" fontId="62" fillId="0" borderId="45" xfId="2" applyNumberFormat="1" applyFont="1" applyBorder="1" applyAlignment="1">
      <alignment horizontal="left" vertical="center" wrapText="1"/>
    </xf>
    <xf numFmtId="4" fontId="62" fillId="0" borderId="65" xfId="2" applyNumberFormat="1" applyFont="1" applyBorder="1" applyAlignment="1">
      <alignment horizontal="left" vertical="center" wrapText="1"/>
    </xf>
    <xf numFmtId="0" fontId="93" fillId="0" borderId="65" xfId="2" applyFont="1" applyBorder="1" applyAlignment="1">
      <alignment horizontal="left" vertical="center" wrapText="1"/>
    </xf>
    <xf numFmtId="0" fontId="16" fillId="2" borderId="40" xfId="2" applyFont="1" applyFill="1" applyBorder="1" applyAlignment="1">
      <alignment horizontal="center" vertical="center" wrapText="1"/>
    </xf>
    <xf numFmtId="0" fontId="16" fillId="2" borderId="70" xfId="2" applyFont="1" applyFill="1" applyBorder="1" applyAlignment="1">
      <alignment horizontal="center" vertical="center" wrapText="1"/>
    </xf>
    <xf numFmtId="4" fontId="62" fillId="0" borderId="0" xfId="2" applyNumberFormat="1" applyFont="1" applyAlignment="1">
      <alignment horizontal="center" vertical="center" wrapText="1"/>
    </xf>
    <xf numFmtId="0" fontId="62" fillId="0" borderId="40" xfId="2" applyFont="1" applyFill="1" applyBorder="1" applyAlignment="1">
      <alignment horizontal="center" vertical="center" wrapText="1"/>
    </xf>
    <xf numFmtId="0" fontId="62" fillId="0" borderId="70" xfId="2" applyFont="1" applyFill="1" applyBorder="1" applyAlignment="1">
      <alignment horizontal="center" vertical="center" wrapText="1"/>
    </xf>
    <xf numFmtId="0" fontId="62" fillId="2" borderId="16" xfId="2" applyFont="1" applyFill="1" applyBorder="1" applyAlignment="1">
      <alignment horizontal="center" vertical="center" wrapText="1"/>
    </xf>
    <xf numFmtId="0" fontId="62" fillId="2" borderId="17" xfId="2" applyFont="1" applyFill="1" applyBorder="1" applyAlignment="1">
      <alignment horizontal="center" vertical="center" wrapText="1"/>
    </xf>
    <xf numFmtId="0" fontId="16" fillId="2" borderId="59" xfId="2" applyFont="1" applyFill="1" applyBorder="1" applyAlignment="1">
      <alignment vertical="top" wrapText="1"/>
    </xf>
    <xf numFmtId="0" fontId="93" fillId="2" borderId="59" xfId="2" applyFont="1" applyFill="1" applyBorder="1" applyAlignment="1">
      <alignment vertical="top" wrapText="1"/>
    </xf>
    <xf numFmtId="0" fontId="102" fillId="0" borderId="0" xfId="0" applyFont="1" applyAlignment="1">
      <alignment horizontal="center"/>
    </xf>
    <xf numFmtId="0" fontId="100" fillId="0" borderId="0" xfId="0" applyFont="1" applyAlignment="1">
      <alignment horizontal="center" wrapText="1"/>
    </xf>
    <xf numFmtId="0" fontId="100" fillId="0" borderId="0" xfId="0" applyFont="1" applyAlignment="1">
      <alignment horizontal="left"/>
    </xf>
    <xf numFmtId="0" fontId="100" fillId="0" borderId="0" xfId="0" applyFont="1" applyAlignment="1">
      <alignment horizontal="right" wrapText="1"/>
    </xf>
    <xf numFmtId="2" fontId="46" fillId="0" borderId="44" xfId="2" applyNumberFormat="1" applyFont="1" applyBorder="1" applyAlignment="1">
      <alignment horizontal="center" vertical="top" wrapText="1"/>
    </xf>
    <xf numFmtId="2" fontId="51" fillId="0" borderId="44" xfId="2" applyNumberFormat="1" applyFont="1" applyBorder="1" applyAlignment="1">
      <alignment horizontal="center" vertical="top" wrapText="1"/>
    </xf>
    <xf numFmtId="2" fontId="54" fillId="0" borderId="44" xfId="2" applyNumberFormat="1" applyFont="1" applyBorder="1" applyAlignment="1">
      <alignment horizontal="center" vertical="top" wrapText="1"/>
    </xf>
    <xf numFmtId="2" fontId="46" fillId="0" borderId="47" xfId="2" applyNumberFormat="1" applyFont="1" applyBorder="1" applyAlignment="1">
      <alignment horizontal="center" vertical="top" wrapText="1"/>
    </xf>
    <xf numFmtId="2" fontId="51" fillId="0" borderId="47" xfId="2" applyNumberFormat="1" applyFont="1" applyBorder="1" applyAlignment="1">
      <alignment horizontal="center" vertical="top" wrapText="1"/>
    </xf>
    <xf numFmtId="2" fontId="46" fillId="0" borderId="47" xfId="2" applyNumberFormat="1" applyFont="1" applyFill="1" applyBorder="1" applyAlignment="1">
      <alignment horizontal="center" vertical="top" wrapText="1"/>
    </xf>
    <xf numFmtId="2" fontId="51" fillId="0" borderId="47" xfId="2" applyNumberFormat="1" applyFont="1" applyFill="1" applyBorder="1" applyAlignment="1">
      <alignment horizontal="center" vertical="top" wrapText="1"/>
    </xf>
    <xf numFmtId="2" fontId="51" fillId="0" borderId="52" xfId="2" applyNumberFormat="1" applyFont="1" applyFill="1" applyBorder="1" applyAlignment="1">
      <alignment horizontal="center" vertical="top" wrapText="1"/>
    </xf>
    <xf numFmtId="2" fontId="46" fillId="0" borderId="38" xfId="2" applyNumberFormat="1" applyFont="1" applyBorder="1" applyAlignment="1">
      <alignment horizontal="center" vertical="top" wrapText="1"/>
    </xf>
    <xf numFmtId="2" fontId="51" fillId="0" borderId="47" xfId="2" applyNumberFormat="1" applyFont="1" applyBorder="1" applyAlignment="1">
      <alignment horizontal="center" vertical="top"/>
    </xf>
    <xf numFmtId="2" fontId="54" fillId="0" borderId="47" xfId="2" applyNumberFormat="1" applyFont="1" applyBorder="1" applyAlignment="1">
      <alignment horizontal="center" vertical="top"/>
    </xf>
    <xf numFmtId="2" fontId="46" fillId="0" borderId="47" xfId="2" applyNumberFormat="1" applyFont="1" applyBorder="1" applyAlignment="1">
      <alignment horizontal="center" vertical="top"/>
    </xf>
    <xf numFmtId="2" fontId="54" fillId="0" borderId="52" xfId="2" applyNumberFormat="1" applyFont="1" applyFill="1" applyBorder="1" applyAlignment="1">
      <alignment horizontal="center" vertical="top" wrapText="1"/>
    </xf>
    <xf numFmtId="0" fontId="16" fillId="0" borderId="0" xfId="2" applyFont="1" applyAlignment="1">
      <alignment horizontal="left" wrapText="1"/>
    </xf>
  </cellXfs>
  <cellStyles count="73">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12" xfId="72"/>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zoomScaleNormal="100" zoomScaleSheetLayoutView="87" workbookViewId="0">
      <selection activeCell="N4" sqref="N4"/>
    </sheetView>
  </sheetViews>
  <sheetFormatPr defaultRowHeight="12.75" x14ac:dyDescent="0.2"/>
  <cols>
    <col min="1" max="1" width="11.7109375" style="43" customWidth="1"/>
    <col min="2" max="2" width="58.42578125" style="89" customWidth="1"/>
    <col min="3" max="3" width="15.140625" style="43" customWidth="1"/>
    <col min="4" max="4" width="15.85546875" style="43" customWidth="1"/>
    <col min="5" max="5" width="13.140625" style="43" customWidth="1"/>
    <col min="6" max="6" width="14" style="43" customWidth="1"/>
    <col min="7" max="7" width="13.140625" style="43" hidden="1" customWidth="1"/>
    <col min="8" max="11" width="9.140625" style="43" hidden="1" customWidth="1"/>
    <col min="12" max="12" width="29.5703125" style="43" hidden="1" customWidth="1"/>
    <col min="13" max="13" width="0" style="43" hidden="1" customWidth="1"/>
    <col min="14" max="14" width="9.140625" style="43"/>
    <col min="15" max="15" width="0" style="43" hidden="1" customWidth="1"/>
    <col min="16" max="256" width="9.140625" style="43"/>
    <col min="257" max="257" width="9.85546875" style="43" customWidth="1"/>
    <col min="258" max="258" width="58.42578125" style="43" customWidth="1"/>
    <col min="259" max="259" width="15.140625" style="43" customWidth="1"/>
    <col min="260" max="260" width="15.85546875" style="43" customWidth="1"/>
    <col min="261" max="261" width="12.140625" style="43" customWidth="1"/>
    <col min="262" max="262" width="12.7109375" style="43" customWidth="1"/>
    <col min="263" max="269" width="0" style="43" hidden="1" customWidth="1"/>
    <col min="270" max="270" width="9.140625" style="43"/>
    <col min="271" max="271" width="0" style="43" hidden="1" customWidth="1"/>
    <col min="272" max="512" width="9.140625" style="43"/>
    <col min="513" max="513" width="9.85546875" style="43" customWidth="1"/>
    <col min="514" max="514" width="58.42578125" style="43" customWidth="1"/>
    <col min="515" max="515" width="15.140625" style="43" customWidth="1"/>
    <col min="516" max="516" width="15.85546875" style="43" customWidth="1"/>
    <col min="517" max="517" width="12.140625" style="43" customWidth="1"/>
    <col min="518" max="518" width="12.7109375" style="43" customWidth="1"/>
    <col min="519" max="525" width="0" style="43" hidden="1" customWidth="1"/>
    <col min="526" max="526" width="9.140625" style="43"/>
    <col min="527" max="527" width="0" style="43" hidden="1" customWidth="1"/>
    <col min="528" max="768" width="9.140625" style="43"/>
    <col min="769" max="769" width="9.85546875" style="43" customWidth="1"/>
    <col min="770" max="770" width="58.42578125" style="43" customWidth="1"/>
    <col min="771" max="771" width="15.140625" style="43" customWidth="1"/>
    <col min="772" max="772" width="15.85546875" style="43" customWidth="1"/>
    <col min="773" max="773" width="12.140625" style="43" customWidth="1"/>
    <col min="774" max="774" width="12.7109375" style="43" customWidth="1"/>
    <col min="775" max="781" width="0" style="43" hidden="1" customWidth="1"/>
    <col min="782" max="782" width="9.140625" style="43"/>
    <col min="783" max="783" width="0" style="43" hidden="1" customWidth="1"/>
    <col min="784" max="1024" width="9.140625" style="43"/>
    <col min="1025" max="1025" width="9.85546875" style="43" customWidth="1"/>
    <col min="1026" max="1026" width="58.42578125" style="43" customWidth="1"/>
    <col min="1027" max="1027" width="15.140625" style="43" customWidth="1"/>
    <col min="1028" max="1028" width="15.85546875" style="43" customWidth="1"/>
    <col min="1029" max="1029" width="12.140625" style="43" customWidth="1"/>
    <col min="1030" max="1030" width="12.7109375" style="43" customWidth="1"/>
    <col min="1031" max="1037" width="0" style="43" hidden="1" customWidth="1"/>
    <col min="1038" max="1038" width="9.140625" style="43"/>
    <col min="1039" max="1039" width="0" style="43" hidden="1" customWidth="1"/>
    <col min="1040" max="1280" width="9.140625" style="43"/>
    <col min="1281" max="1281" width="9.85546875" style="43" customWidth="1"/>
    <col min="1282" max="1282" width="58.42578125" style="43" customWidth="1"/>
    <col min="1283" max="1283" width="15.140625" style="43" customWidth="1"/>
    <col min="1284" max="1284" width="15.85546875" style="43" customWidth="1"/>
    <col min="1285" max="1285" width="12.140625" style="43" customWidth="1"/>
    <col min="1286" max="1286" width="12.7109375" style="43" customWidth="1"/>
    <col min="1287" max="1293" width="0" style="43" hidden="1" customWidth="1"/>
    <col min="1294" max="1294" width="9.140625" style="43"/>
    <col min="1295" max="1295" width="0" style="43" hidden="1" customWidth="1"/>
    <col min="1296" max="1536" width="9.140625" style="43"/>
    <col min="1537" max="1537" width="9.85546875" style="43" customWidth="1"/>
    <col min="1538" max="1538" width="58.42578125" style="43" customWidth="1"/>
    <col min="1539" max="1539" width="15.140625" style="43" customWidth="1"/>
    <col min="1540" max="1540" width="15.85546875" style="43" customWidth="1"/>
    <col min="1541" max="1541" width="12.140625" style="43" customWidth="1"/>
    <col min="1542" max="1542" width="12.7109375" style="43" customWidth="1"/>
    <col min="1543" max="1549" width="0" style="43" hidden="1" customWidth="1"/>
    <col min="1550" max="1550" width="9.140625" style="43"/>
    <col min="1551" max="1551" width="0" style="43" hidden="1" customWidth="1"/>
    <col min="1552" max="1792" width="9.140625" style="43"/>
    <col min="1793" max="1793" width="9.85546875" style="43" customWidth="1"/>
    <col min="1794" max="1794" width="58.42578125" style="43" customWidth="1"/>
    <col min="1795" max="1795" width="15.140625" style="43" customWidth="1"/>
    <col min="1796" max="1796" width="15.85546875" style="43" customWidth="1"/>
    <col min="1797" max="1797" width="12.140625" style="43" customWidth="1"/>
    <col min="1798" max="1798" width="12.7109375" style="43" customWidth="1"/>
    <col min="1799" max="1805" width="0" style="43" hidden="1" customWidth="1"/>
    <col min="1806" max="1806" width="9.140625" style="43"/>
    <col min="1807" max="1807" width="0" style="43" hidden="1" customWidth="1"/>
    <col min="1808" max="2048" width="9.140625" style="43"/>
    <col min="2049" max="2049" width="9.85546875" style="43" customWidth="1"/>
    <col min="2050" max="2050" width="58.42578125" style="43" customWidth="1"/>
    <col min="2051" max="2051" width="15.140625" style="43" customWidth="1"/>
    <col min="2052" max="2052" width="15.85546875" style="43" customWidth="1"/>
    <col min="2053" max="2053" width="12.140625" style="43" customWidth="1"/>
    <col min="2054" max="2054" width="12.7109375" style="43" customWidth="1"/>
    <col min="2055" max="2061" width="0" style="43" hidden="1" customWidth="1"/>
    <col min="2062" max="2062" width="9.140625" style="43"/>
    <col min="2063" max="2063" width="0" style="43" hidden="1" customWidth="1"/>
    <col min="2064" max="2304" width="9.140625" style="43"/>
    <col min="2305" max="2305" width="9.85546875" style="43" customWidth="1"/>
    <col min="2306" max="2306" width="58.42578125" style="43" customWidth="1"/>
    <col min="2307" max="2307" width="15.140625" style="43" customWidth="1"/>
    <col min="2308" max="2308" width="15.85546875" style="43" customWidth="1"/>
    <col min="2309" max="2309" width="12.140625" style="43" customWidth="1"/>
    <col min="2310" max="2310" width="12.7109375" style="43" customWidth="1"/>
    <col min="2311" max="2317" width="0" style="43" hidden="1" customWidth="1"/>
    <col min="2318" max="2318" width="9.140625" style="43"/>
    <col min="2319" max="2319" width="0" style="43" hidden="1" customWidth="1"/>
    <col min="2320" max="2560" width="9.140625" style="43"/>
    <col min="2561" max="2561" width="9.85546875" style="43" customWidth="1"/>
    <col min="2562" max="2562" width="58.42578125" style="43" customWidth="1"/>
    <col min="2563" max="2563" width="15.140625" style="43" customWidth="1"/>
    <col min="2564" max="2564" width="15.85546875" style="43" customWidth="1"/>
    <col min="2565" max="2565" width="12.140625" style="43" customWidth="1"/>
    <col min="2566" max="2566" width="12.7109375" style="43" customWidth="1"/>
    <col min="2567" max="2573" width="0" style="43" hidden="1" customWidth="1"/>
    <col min="2574" max="2574" width="9.140625" style="43"/>
    <col min="2575" max="2575" width="0" style="43" hidden="1" customWidth="1"/>
    <col min="2576" max="2816" width="9.140625" style="43"/>
    <col min="2817" max="2817" width="9.85546875" style="43" customWidth="1"/>
    <col min="2818" max="2818" width="58.42578125" style="43" customWidth="1"/>
    <col min="2819" max="2819" width="15.140625" style="43" customWidth="1"/>
    <col min="2820" max="2820" width="15.85546875" style="43" customWidth="1"/>
    <col min="2821" max="2821" width="12.140625" style="43" customWidth="1"/>
    <col min="2822" max="2822" width="12.7109375" style="43" customWidth="1"/>
    <col min="2823" max="2829" width="0" style="43" hidden="1" customWidth="1"/>
    <col min="2830" max="2830" width="9.140625" style="43"/>
    <col min="2831" max="2831" width="0" style="43" hidden="1" customWidth="1"/>
    <col min="2832" max="3072" width="9.140625" style="43"/>
    <col min="3073" max="3073" width="9.85546875" style="43" customWidth="1"/>
    <col min="3074" max="3074" width="58.42578125" style="43" customWidth="1"/>
    <col min="3075" max="3075" width="15.140625" style="43" customWidth="1"/>
    <col min="3076" max="3076" width="15.85546875" style="43" customWidth="1"/>
    <col min="3077" max="3077" width="12.140625" style="43" customWidth="1"/>
    <col min="3078" max="3078" width="12.7109375" style="43" customWidth="1"/>
    <col min="3079" max="3085" width="0" style="43" hidden="1" customWidth="1"/>
    <col min="3086" max="3086" width="9.140625" style="43"/>
    <col min="3087" max="3087" width="0" style="43" hidden="1" customWidth="1"/>
    <col min="3088" max="3328" width="9.140625" style="43"/>
    <col min="3329" max="3329" width="9.85546875" style="43" customWidth="1"/>
    <col min="3330" max="3330" width="58.42578125" style="43" customWidth="1"/>
    <col min="3331" max="3331" width="15.140625" style="43" customWidth="1"/>
    <col min="3332" max="3332" width="15.85546875" style="43" customWidth="1"/>
    <col min="3333" max="3333" width="12.140625" style="43" customWidth="1"/>
    <col min="3334" max="3334" width="12.7109375" style="43" customWidth="1"/>
    <col min="3335" max="3341" width="0" style="43" hidden="1" customWidth="1"/>
    <col min="3342" max="3342" width="9.140625" style="43"/>
    <col min="3343" max="3343" width="0" style="43" hidden="1" customWidth="1"/>
    <col min="3344" max="3584" width="9.140625" style="43"/>
    <col min="3585" max="3585" width="9.85546875" style="43" customWidth="1"/>
    <col min="3586" max="3586" width="58.42578125" style="43" customWidth="1"/>
    <col min="3587" max="3587" width="15.140625" style="43" customWidth="1"/>
    <col min="3588" max="3588" width="15.85546875" style="43" customWidth="1"/>
    <col min="3589" max="3589" width="12.140625" style="43" customWidth="1"/>
    <col min="3590" max="3590" width="12.7109375" style="43" customWidth="1"/>
    <col min="3591" max="3597" width="0" style="43" hidden="1" customWidth="1"/>
    <col min="3598" max="3598" width="9.140625" style="43"/>
    <col min="3599" max="3599" width="0" style="43" hidden="1" customWidth="1"/>
    <col min="3600" max="3840" width="9.140625" style="43"/>
    <col min="3841" max="3841" width="9.85546875" style="43" customWidth="1"/>
    <col min="3842" max="3842" width="58.42578125" style="43" customWidth="1"/>
    <col min="3843" max="3843" width="15.140625" style="43" customWidth="1"/>
    <col min="3844" max="3844" width="15.85546875" style="43" customWidth="1"/>
    <col min="3845" max="3845" width="12.140625" style="43" customWidth="1"/>
    <col min="3846" max="3846" width="12.7109375" style="43" customWidth="1"/>
    <col min="3847" max="3853" width="0" style="43" hidden="1" customWidth="1"/>
    <col min="3854" max="3854" width="9.140625" style="43"/>
    <col min="3855" max="3855" width="0" style="43" hidden="1" customWidth="1"/>
    <col min="3856" max="4096" width="9.140625" style="43"/>
    <col min="4097" max="4097" width="9.85546875" style="43" customWidth="1"/>
    <col min="4098" max="4098" width="58.42578125" style="43" customWidth="1"/>
    <col min="4099" max="4099" width="15.140625" style="43" customWidth="1"/>
    <col min="4100" max="4100" width="15.85546875" style="43" customWidth="1"/>
    <col min="4101" max="4101" width="12.140625" style="43" customWidth="1"/>
    <col min="4102" max="4102" width="12.7109375" style="43" customWidth="1"/>
    <col min="4103" max="4109" width="0" style="43" hidden="1" customWidth="1"/>
    <col min="4110" max="4110" width="9.140625" style="43"/>
    <col min="4111" max="4111" width="0" style="43" hidden="1" customWidth="1"/>
    <col min="4112" max="4352" width="9.140625" style="43"/>
    <col min="4353" max="4353" width="9.85546875" style="43" customWidth="1"/>
    <col min="4354" max="4354" width="58.42578125" style="43" customWidth="1"/>
    <col min="4355" max="4355" width="15.140625" style="43" customWidth="1"/>
    <col min="4356" max="4356" width="15.85546875" style="43" customWidth="1"/>
    <col min="4357" max="4357" width="12.140625" style="43" customWidth="1"/>
    <col min="4358" max="4358" width="12.7109375" style="43" customWidth="1"/>
    <col min="4359" max="4365" width="0" style="43" hidden="1" customWidth="1"/>
    <col min="4366" max="4366" width="9.140625" style="43"/>
    <col min="4367" max="4367" width="0" style="43" hidden="1" customWidth="1"/>
    <col min="4368" max="4608" width="9.140625" style="43"/>
    <col min="4609" max="4609" width="9.85546875" style="43" customWidth="1"/>
    <col min="4610" max="4610" width="58.42578125" style="43" customWidth="1"/>
    <col min="4611" max="4611" width="15.140625" style="43" customWidth="1"/>
    <col min="4612" max="4612" width="15.85546875" style="43" customWidth="1"/>
    <col min="4613" max="4613" width="12.140625" style="43" customWidth="1"/>
    <col min="4614" max="4614" width="12.7109375" style="43" customWidth="1"/>
    <col min="4615" max="4621" width="0" style="43" hidden="1" customWidth="1"/>
    <col min="4622" max="4622" width="9.140625" style="43"/>
    <col min="4623" max="4623" width="0" style="43" hidden="1" customWidth="1"/>
    <col min="4624" max="4864" width="9.140625" style="43"/>
    <col min="4865" max="4865" width="9.85546875" style="43" customWidth="1"/>
    <col min="4866" max="4866" width="58.42578125" style="43" customWidth="1"/>
    <col min="4867" max="4867" width="15.140625" style="43" customWidth="1"/>
    <col min="4868" max="4868" width="15.85546875" style="43" customWidth="1"/>
    <col min="4869" max="4869" width="12.140625" style="43" customWidth="1"/>
    <col min="4870" max="4870" width="12.7109375" style="43" customWidth="1"/>
    <col min="4871" max="4877" width="0" style="43" hidden="1" customWidth="1"/>
    <col min="4878" max="4878" width="9.140625" style="43"/>
    <col min="4879" max="4879" width="0" style="43" hidden="1" customWidth="1"/>
    <col min="4880" max="5120" width="9.140625" style="43"/>
    <col min="5121" max="5121" width="9.85546875" style="43" customWidth="1"/>
    <col min="5122" max="5122" width="58.42578125" style="43" customWidth="1"/>
    <col min="5123" max="5123" width="15.140625" style="43" customWidth="1"/>
    <col min="5124" max="5124" width="15.85546875" style="43" customWidth="1"/>
    <col min="5125" max="5125" width="12.140625" style="43" customWidth="1"/>
    <col min="5126" max="5126" width="12.7109375" style="43" customWidth="1"/>
    <col min="5127" max="5133" width="0" style="43" hidden="1" customWidth="1"/>
    <col min="5134" max="5134" width="9.140625" style="43"/>
    <col min="5135" max="5135" width="0" style="43" hidden="1" customWidth="1"/>
    <col min="5136" max="5376" width="9.140625" style="43"/>
    <col min="5377" max="5377" width="9.85546875" style="43" customWidth="1"/>
    <col min="5378" max="5378" width="58.42578125" style="43" customWidth="1"/>
    <col min="5379" max="5379" width="15.140625" style="43" customWidth="1"/>
    <col min="5380" max="5380" width="15.85546875" style="43" customWidth="1"/>
    <col min="5381" max="5381" width="12.140625" style="43" customWidth="1"/>
    <col min="5382" max="5382" width="12.7109375" style="43" customWidth="1"/>
    <col min="5383" max="5389" width="0" style="43" hidden="1" customWidth="1"/>
    <col min="5390" max="5390" width="9.140625" style="43"/>
    <col min="5391" max="5391" width="0" style="43" hidden="1" customWidth="1"/>
    <col min="5392" max="5632" width="9.140625" style="43"/>
    <col min="5633" max="5633" width="9.85546875" style="43" customWidth="1"/>
    <col min="5634" max="5634" width="58.42578125" style="43" customWidth="1"/>
    <col min="5635" max="5635" width="15.140625" style="43" customWidth="1"/>
    <col min="5636" max="5636" width="15.85546875" style="43" customWidth="1"/>
    <col min="5637" max="5637" width="12.140625" style="43" customWidth="1"/>
    <col min="5638" max="5638" width="12.7109375" style="43" customWidth="1"/>
    <col min="5639" max="5645" width="0" style="43" hidden="1" customWidth="1"/>
    <col min="5646" max="5646" width="9.140625" style="43"/>
    <col min="5647" max="5647" width="0" style="43" hidden="1" customWidth="1"/>
    <col min="5648" max="5888" width="9.140625" style="43"/>
    <col min="5889" max="5889" width="9.85546875" style="43" customWidth="1"/>
    <col min="5890" max="5890" width="58.42578125" style="43" customWidth="1"/>
    <col min="5891" max="5891" width="15.140625" style="43" customWidth="1"/>
    <col min="5892" max="5892" width="15.85546875" style="43" customWidth="1"/>
    <col min="5893" max="5893" width="12.140625" style="43" customWidth="1"/>
    <col min="5894" max="5894" width="12.7109375" style="43" customWidth="1"/>
    <col min="5895" max="5901" width="0" style="43" hidden="1" customWidth="1"/>
    <col min="5902" max="5902" width="9.140625" style="43"/>
    <col min="5903" max="5903" width="0" style="43" hidden="1" customWidth="1"/>
    <col min="5904" max="6144" width="9.140625" style="43"/>
    <col min="6145" max="6145" width="9.85546875" style="43" customWidth="1"/>
    <col min="6146" max="6146" width="58.42578125" style="43" customWidth="1"/>
    <col min="6147" max="6147" width="15.140625" style="43" customWidth="1"/>
    <col min="6148" max="6148" width="15.85546875" style="43" customWidth="1"/>
    <col min="6149" max="6149" width="12.140625" style="43" customWidth="1"/>
    <col min="6150" max="6150" width="12.7109375" style="43" customWidth="1"/>
    <col min="6151" max="6157" width="0" style="43" hidden="1" customWidth="1"/>
    <col min="6158" max="6158" width="9.140625" style="43"/>
    <col min="6159" max="6159" width="0" style="43" hidden="1" customWidth="1"/>
    <col min="6160" max="6400" width="9.140625" style="43"/>
    <col min="6401" max="6401" width="9.85546875" style="43" customWidth="1"/>
    <col min="6402" max="6402" width="58.42578125" style="43" customWidth="1"/>
    <col min="6403" max="6403" width="15.140625" style="43" customWidth="1"/>
    <col min="6404" max="6404" width="15.85546875" style="43" customWidth="1"/>
    <col min="6405" max="6405" width="12.140625" style="43" customWidth="1"/>
    <col min="6406" max="6406" width="12.7109375" style="43" customWidth="1"/>
    <col min="6407" max="6413" width="0" style="43" hidden="1" customWidth="1"/>
    <col min="6414" max="6414" width="9.140625" style="43"/>
    <col min="6415" max="6415" width="0" style="43" hidden="1" customWidth="1"/>
    <col min="6416" max="6656" width="9.140625" style="43"/>
    <col min="6657" max="6657" width="9.85546875" style="43" customWidth="1"/>
    <col min="6658" max="6658" width="58.42578125" style="43" customWidth="1"/>
    <col min="6659" max="6659" width="15.140625" style="43" customWidth="1"/>
    <col min="6660" max="6660" width="15.85546875" style="43" customWidth="1"/>
    <col min="6661" max="6661" width="12.140625" style="43" customWidth="1"/>
    <col min="6662" max="6662" width="12.7109375" style="43" customWidth="1"/>
    <col min="6663" max="6669" width="0" style="43" hidden="1" customWidth="1"/>
    <col min="6670" max="6670" width="9.140625" style="43"/>
    <col min="6671" max="6671" width="0" style="43" hidden="1" customWidth="1"/>
    <col min="6672" max="6912" width="9.140625" style="43"/>
    <col min="6913" max="6913" width="9.85546875" style="43" customWidth="1"/>
    <col min="6914" max="6914" width="58.42578125" style="43" customWidth="1"/>
    <col min="6915" max="6915" width="15.140625" style="43" customWidth="1"/>
    <col min="6916" max="6916" width="15.85546875" style="43" customWidth="1"/>
    <col min="6917" max="6917" width="12.140625" style="43" customWidth="1"/>
    <col min="6918" max="6918" width="12.7109375" style="43" customWidth="1"/>
    <col min="6919" max="6925" width="0" style="43" hidden="1" customWidth="1"/>
    <col min="6926" max="6926" width="9.140625" style="43"/>
    <col min="6927" max="6927" width="0" style="43" hidden="1" customWidth="1"/>
    <col min="6928" max="7168" width="9.140625" style="43"/>
    <col min="7169" max="7169" width="9.85546875" style="43" customWidth="1"/>
    <col min="7170" max="7170" width="58.42578125" style="43" customWidth="1"/>
    <col min="7171" max="7171" width="15.140625" style="43" customWidth="1"/>
    <col min="7172" max="7172" width="15.85546875" style="43" customWidth="1"/>
    <col min="7173" max="7173" width="12.140625" style="43" customWidth="1"/>
    <col min="7174" max="7174" width="12.7109375" style="43" customWidth="1"/>
    <col min="7175" max="7181" width="0" style="43" hidden="1" customWidth="1"/>
    <col min="7182" max="7182" width="9.140625" style="43"/>
    <col min="7183" max="7183" width="0" style="43" hidden="1" customWidth="1"/>
    <col min="7184" max="7424" width="9.140625" style="43"/>
    <col min="7425" max="7425" width="9.85546875" style="43" customWidth="1"/>
    <col min="7426" max="7426" width="58.42578125" style="43" customWidth="1"/>
    <col min="7427" max="7427" width="15.140625" style="43" customWidth="1"/>
    <col min="7428" max="7428" width="15.85546875" style="43" customWidth="1"/>
    <col min="7429" max="7429" width="12.140625" style="43" customWidth="1"/>
    <col min="7430" max="7430" width="12.7109375" style="43" customWidth="1"/>
    <col min="7431" max="7437" width="0" style="43" hidden="1" customWidth="1"/>
    <col min="7438" max="7438" width="9.140625" style="43"/>
    <col min="7439" max="7439" width="0" style="43" hidden="1" customWidth="1"/>
    <col min="7440" max="7680" width="9.140625" style="43"/>
    <col min="7681" max="7681" width="9.85546875" style="43" customWidth="1"/>
    <col min="7682" max="7682" width="58.42578125" style="43" customWidth="1"/>
    <col min="7683" max="7683" width="15.140625" style="43" customWidth="1"/>
    <col min="7684" max="7684" width="15.85546875" style="43" customWidth="1"/>
    <col min="7685" max="7685" width="12.140625" style="43" customWidth="1"/>
    <col min="7686" max="7686" width="12.7109375" style="43" customWidth="1"/>
    <col min="7687" max="7693" width="0" style="43" hidden="1" customWidth="1"/>
    <col min="7694" max="7694" width="9.140625" style="43"/>
    <col min="7695" max="7695" width="0" style="43" hidden="1" customWidth="1"/>
    <col min="7696" max="7936" width="9.140625" style="43"/>
    <col min="7937" max="7937" width="9.85546875" style="43" customWidth="1"/>
    <col min="7938" max="7938" width="58.42578125" style="43" customWidth="1"/>
    <col min="7939" max="7939" width="15.140625" style="43" customWidth="1"/>
    <col min="7940" max="7940" width="15.85546875" style="43" customWidth="1"/>
    <col min="7941" max="7941" width="12.140625" style="43" customWidth="1"/>
    <col min="7942" max="7942" width="12.7109375" style="43" customWidth="1"/>
    <col min="7943" max="7949" width="0" style="43" hidden="1" customWidth="1"/>
    <col min="7950" max="7950" width="9.140625" style="43"/>
    <col min="7951" max="7951" width="0" style="43" hidden="1" customWidth="1"/>
    <col min="7952" max="8192" width="9.140625" style="43"/>
    <col min="8193" max="8193" width="9.85546875" style="43" customWidth="1"/>
    <col min="8194" max="8194" width="58.42578125" style="43" customWidth="1"/>
    <col min="8195" max="8195" width="15.140625" style="43" customWidth="1"/>
    <col min="8196" max="8196" width="15.85546875" style="43" customWidth="1"/>
    <col min="8197" max="8197" width="12.140625" style="43" customWidth="1"/>
    <col min="8198" max="8198" width="12.7109375" style="43" customWidth="1"/>
    <col min="8199" max="8205" width="0" style="43" hidden="1" customWidth="1"/>
    <col min="8206" max="8206" width="9.140625" style="43"/>
    <col min="8207" max="8207" width="0" style="43" hidden="1" customWidth="1"/>
    <col min="8208" max="8448" width="9.140625" style="43"/>
    <col min="8449" max="8449" width="9.85546875" style="43" customWidth="1"/>
    <col min="8450" max="8450" width="58.42578125" style="43" customWidth="1"/>
    <col min="8451" max="8451" width="15.140625" style="43" customWidth="1"/>
    <col min="8452" max="8452" width="15.85546875" style="43" customWidth="1"/>
    <col min="8453" max="8453" width="12.140625" style="43" customWidth="1"/>
    <col min="8454" max="8454" width="12.7109375" style="43" customWidth="1"/>
    <col min="8455" max="8461" width="0" style="43" hidden="1" customWidth="1"/>
    <col min="8462" max="8462" width="9.140625" style="43"/>
    <col min="8463" max="8463" width="0" style="43" hidden="1" customWidth="1"/>
    <col min="8464" max="8704" width="9.140625" style="43"/>
    <col min="8705" max="8705" width="9.85546875" style="43" customWidth="1"/>
    <col min="8706" max="8706" width="58.42578125" style="43" customWidth="1"/>
    <col min="8707" max="8707" width="15.140625" style="43" customWidth="1"/>
    <col min="8708" max="8708" width="15.85546875" style="43" customWidth="1"/>
    <col min="8709" max="8709" width="12.140625" style="43" customWidth="1"/>
    <col min="8710" max="8710" width="12.7109375" style="43" customWidth="1"/>
    <col min="8711" max="8717" width="0" style="43" hidden="1" customWidth="1"/>
    <col min="8718" max="8718" width="9.140625" style="43"/>
    <col min="8719" max="8719" width="0" style="43" hidden="1" customWidth="1"/>
    <col min="8720" max="8960" width="9.140625" style="43"/>
    <col min="8961" max="8961" width="9.85546875" style="43" customWidth="1"/>
    <col min="8962" max="8962" width="58.42578125" style="43" customWidth="1"/>
    <col min="8963" max="8963" width="15.140625" style="43" customWidth="1"/>
    <col min="8964" max="8964" width="15.85546875" style="43" customWidth="1"/>
    <col min="8965" max="8965" width="12.140625" style="43" customWidth="1"/>
    <col min="8966" max="8966" width="12.7109375" style="43" customWidth="1"/>
    <col min="8967" max="8973" width="0" style="43" hidden="1" customWidth="1"/>
    <col min="8974" max="8974" width="9.140625" style="43"/>
    <col min="8975" max="8975" width="0" style="43" hidden="1" customWidth="1"/>
    <col min="8976" max="9216" width="9.140625" style="43"/>
    <col min="9217" max="9217" width="9.85546875" style="43" customWidth="1"/>
    <col min="9218" max="9218" width="58.42578125" style="43" customWidth="1"/>
    <col min="9219" max="9219" width="15.140625" style="43" customWidth="1"/>
    <col min="9220" max="9220" width="15.85546875" style="43" customWidth="1"/>
    <col min="9221" max="9221" width="12.140625" style="43" customWidth="1"/>
    <col min="9222" max="9222" width="12.7109375" style="43" customWidth="1"/>
    <col min="9223" max="9229" width="0" style="43" hidden="1" customWidth="1"/>
    <col min="9230" max="9230" width="9.140625" style="43"/>
    <col min="9231" max="9231" width="0" style="43" hidden="1" customWidth="1"/>
    <col min="9232" max="9472" width="9.140625" style="43"/>
    <col min="9473" max="9473" width="9.85546875" style="43" customWidth="1"/>
    <col min="9474" max="9474" width="58.42578125" style="43" customWidth="1"/>
    <col min="9475" max="9475" width="15.140625" style="43" customWidth="1"/>
    <col min="9476" max="9476" width="15.85546875" style="43" customWidth="1"/>
    <col min="9477" max="9477" width="12.140625" style="43" customWidth="1"/>
    <col min="9478" max="9478" width="12.7109375" style="43" customWidth="1"/>
    <col min="9479" max="9485" width="0" style="43" hidden="1" customWidth="1"/>
    <col min="9486" max="9486" width="9.140625" style="43"/>
    <col min="9487" max="9487" width="0" style="43" hidden="1" customWidth="1"/>
    <col min="9488" max="9728" width="9.140625" style="43"/>
    <col min="9729" max="9729" width="9.85546875" style="43" customWidth="1"/>
    <col min="9730" max="9730" width="58.42578125" style="43" customWidth="1"/>
    <col min="9731" max="9731" width="15.140625" style="43" customWidth="1"/>
    <col min="9732" max="9732" width="15.85546875" style="43" customWidth="1"/>
    <col min="9733" max="9733" width="12.140625" style="43" customWidth="1"/>
    <col min="9734" max="9734" width="12.7109375" style="43" customWidth="1"/>
    <col min="9735" max="9741" width="0" style="43" hidden="1" customWidth="1"/>
    <col min="9742" max="9742" width="9.140625" style="43"/>
    <col min="9743" max="9743" width="0" style="43" hidden="1" customWidth="1"/>
    <col min="9744" max="9984" width="9.140625" style="43"/>
    <col min="9985" max="9985" width="9.85546875" style="43" customWidth="1"/>
    <col min="9986" max="9986" width="58.42578125" style="43" customWidth="1"/>
    <col min="9987" max="9987" width="15.140625" style="43" customWidth="1"/>
    <col min="9988" max="9988" width="15.85546875" style="43" customWidth="1"/>
    <col min="9989" max="9989" width="12.140625" style="43" customWidth="1"/>
    <col min="9990" max="9990" width="12.7109375" style="43" customWidth="1"/>
    <col min="9991" max="9997" width="0" style="43" hidden="1" customWidth="1"/>
    <col min="9998" max="9998" width="9.140625" style="43"/>
    <col min="9999" max="9999" width="0" style="43" hidden="1" customWidth="1"/>
    <col min="10000" max="10240" width="9.140625" style="43"/>
    <col min="10241" max="10241" width="9.85546875" style="43" customWidth="1"/>
    <col min="10242" max="10242" width="58.42578125" style="43" customWidth="1"/>
    <col min="10243" max="10243" width="15.140625" style="43" customWidth="1"/>
    <col min="10244" max="10244" width="15.85546875" style="43" customWidth="1"/>
    <col min="10245" max="10245" width="12.140625" style="43" customWidth="1"/>
    <col min="10246" max="10246" width="12.7109375" style="43" customWidth="1"/>
    <col min="10247" max="10253" width="0" style="43" hidden="1" customWidth="1"/>
    <col min="10254" max="10254" width="9.140625" style="43"/>
    <col min="10255" max="10255" width="0" style="43" hidden="1" customWidth="1"/>
    <col min="10256" max="10496" width="9.140625" style="43"/>
    <col min="10497" max="10497" width="9.85546875" style="43" customWidth="1"/>
    <col min="10498" max="10498" width="58.42578125" style="43" customWidth="1"/>
    <col min="10499" max="10499" width="15.140625" style="43" customWidth="1"/>
    <col min="10500" max="10500" width="15.85546875" style="43" customWidth="1"/>
    <col min="10501" max="10501" width="12.140625" style="43" customWidth="1"/>
    <col min="10502" max="10502" width="12.7109375" style="43" customWidth="1"/>
    <col min="10503" max="10509" width="0" style="43" hidden="1" customWidth="1"/>
    <col min="10510" max="10510" width="9.140625" style="43"/>
    <col min="10511" max="10511" width="0" style="43" hidden="1" customWidth="1"/>
    <col min="10512" max="10752" width="9.140625" style="43"/>
    <col min="10753" max="10753" width="9.85546875" style="43" customWidth="1"/>
    <col min="10754" max="10754" width="58.42578125" style="43" customWidth="1"/>
    <col min="10755" max="10755" width="15.140625" style="43" customWidth="1"/>
    <col min="10756" max="10756" width="15.85546875" style="43" customWidth="1"/>
    <col min="10757" max="10757" width="12.140625" style="43" customWidth="1"/>
    <col min="10758" max="10758" width="12.7109375" style="43" customWidth="1"/>
    <col min="10759" max="10765" width="0" style="43" hidden="1" customWidth="1"/>
    <col min="10766" max="10766" width="9.140625" style="43"/>
    <col min="10767" max="10767" width="0" style="43" hidden="1" customWidth="1"/>
    <col min="10768" max="11008" width="9.140625" style="43"/>
    <col min="11009" max="11009" width="9.85546875" style="43" customWidth="1"/>
    <col min="11010" max="11010" width="58.42578125" style="43" customWidth="1"/>
    <col min="11011" max="11011" width="15.140625" style="43" customWidth="1"/>
    <col min="11012" max="11012" width="15.85546875" style="43" customWidth="1"/>
    <col min="11013" max="11013" width="12.140625" style="43" customWidth="1"/>
    <col min="11014" max="11014" width="12.7109375" style="43" customWidth="1"/>
    <col min="11015" max="11021" width="0" style="43" hidden="1" customWidth="1"/>
    <col min="11022" max="11022" width="9.140625" style="43"/>
    <col min="11023" max="11023" width="0" style="43" hidden="1" customWidth="1"/>
    <col min="11024" max="11264" width="9.140625" style="43"/>
    <col min="11265" max="11265" width="9.85546875" style="43" customWidth="1"/>
    <col min="11266" max="11266" width="58.42578125" style="43" customWidth="1"/>
    <col min="11267" max="11267" width="15.140625" style="43" customWidth="1"/>
    <col min="11268" max="11268" width="15.85546875" style="43" customWidth="1"/>
    <col min="11269" max="11269" width="12.140625" style="43" customWidth="1"/>
    <col min="11270" max="11270" width="12.7109375" style="43" customWidth="1"/>
    <col min="11271" max="11277" width="0" style="43" hidden="1" customWidth="1"/>
    <col min="11278" max="11278" width="9.140625" style="43"/>
    <col min="11279" max="11279" width="0" style="43" hidden="1" customWidth="1"/>
    <col min="11280" max="11520" width="9.140625" style="43"/>
    <col min="11521" max="11521" width="9.85546875" style="43" customWidth="1"/>
    <col min="11522" max="11522" width="58.42578125" style="43" customWidth="1"/>
    <col min="11523" max="11523" width="15.140625" style="43" customWidth="1"/>
    <col min="11524" max="11524" width="15.85546875" style="43" customWidth="1"/>
    <col min="11525" max="11525" width="12.140625" style="43" customWidth="1"/>
    <col min="11526" max="11526" width="12.7109375" style="43" customWidth="1"/>
    <col min="11527" max="11533" width="0" style="43" hidden="1" customWidth="1"/>
    <col min="11534" max="11534" width="9.140625" style="43"/>
    <col min="11535" max="11535" width="0" style="43" hidden="1" customWidth="1"/>
    <col min="11536" max="11776" width="9.140625" style="43"/>
    <col min="11777" max="11777" width="9.85546875" style="43" customWidth="1"/>
    <col min="11778" max="11778" width="58.42578125" style="43" customWidth="1"/>
    <col min="11779" max="11779" width="15.140625" style="43" customWidth="1"/>
    <col min="11780" max="11780" width="15.85546875" style="43" customWidth="1"/>
    <col min="11781" max="11781" width="12.140625" style="43" customWidth="1"/>
    <col min="11782" max="11782" width="12.7109375" style="43" customWidth="1"/>
    <col min="11783" max="11789" width="0" style="43" hidden="1" customWidth="1"/>
    <col min="11790" max="11790" width="9.140625" style="43"/>
    <col min="11791" max="11791" width="0" style="43" hidden="1" customWidth="1"/>
    <col min="11792" max="12032" width="9.140625" style="43"/>
    <col min="12033" max="12033" width="9.85546875" style="43" customWidth="1"/>
    <col min="12034" max="12034" width="58.42578125" style="43" customWidth="1"/>
    <col min="12035" max="12035" width="15.140625" style="43" customWidth="1"/>
    <col min="12036" max="12036" width="15.85546875" style="43" customWidth="1"/>
    <col min="12037" max="12037" width="12.140625" style="43" customWidth="1"/>
    <col min="12038" max="12038" width="12.7109375" style="43" customWidth="1"/>
    <col min="12039" max="12045" width="0" style="43" hidden="1" customWidth="1"/>
    <col min="12046" max="12046" width="9.140625" style="43"/>
    <col min="12047" max="12047" width="0" style="43" hidden="1" customWidth="1"/>
    <col min="12048" max="12288" width="9.140625" style="43"/>
    <col min="12289" max="12289" width="9.85546875" style="43" customWidth="1"/>
    <col min="12290" max="12290" width="58.42578125" style="43" customWidth="1"/>
    <col min="12291" max="12291" width="15.140625" style="43" customWidth="1"/>
    <col min="12292" max="12292" width="15.85546875" style="43" customWidth="1"/>
    <col min="12293" max="12293" width="12.140625" style="43" customWidth="1"/>
    <col min="12294" max="12294" width="12.7109375" style="43" customWidth="1"/>
    <col min="12295" max="12301" width="0" style="43" hidden="1" customWidth="1"/>
    <col min="12302" max="12302" width="9.140625" style="43"/>
    <col min="12303" max="12303" width="0" style="43" hidden="1" customWidth="1"/>
    <col min="12304" max="12544" width="9.140625" style="43"/>
    <col min="12545" max="12545" width="9.85546875" style="43" customWidth="1"/>
    <col min="12546" max="12546" width="58.42578125" style="43" customWidth="1"/>
    <col min="12547" max="12547" width="15.140625" style="43" customWidth="1"/>
    <col min="12548" max="12548" width="15.85546875" style="43" customWidth="1"/>
    <col min="12549" max="12549" width="12.140625" style="43" customWidth="1"/>
    <col min="12550" max="12550" width="12.7109375" style="43" customWidth="1"/>
    <col min="12551" max="12557" width="0" style="43" hidden="1" customWidth="1"/>
    <col min="12558" max="12558" width="9.140625" style="43"/>
    <col min="12559" max="12559" width="0" style="43" hidden="1" customWidth="1"/>
    <col min="12560" max="12800" width="9.140625" style="43"/>
    <col min="12801" max="12801" width="9.85546875" style="43" customWidth="1"/>
    <col min="12802" max="12802" width="58.42578125" style="43" customWidth="1"/>
    <col min="12803" max="12803" width="15.140625" style="43" customWidth="1"/>
    <col min="12804" max="12804" width="15.85546875" style="43" customWidth="1"/>
    <col min="12805" max="12805" width="12.140625" style="43" customWidth="1"/>
    <col min="12806" max="12806" width="12.7109375" style="43" customWidth="1"/>
    <col min="12807" max="12813" width="0" style="43" hidden="1" customWidth="1"/>
    <col min="12814" max="12814" width="9.140625" style="43"/>
    <col min="12815" max="12815" width="0" style="43" hidden="1" customWidth="1"/>
    <col min="12816" max="13056" width="9.140625" style="43"/>
    <col min="13057" max="13057" width="9.85546875" style="43" customWidth="1"/>
    <col min="13058" max="13058" width="58.42578125" style="43" customWidth="1"/>
    <col min="13059" max="13059" width="15.140625" style="43" customWidth="1"/>
    <col min="13060" max="13060" width="15.85546875" style="43" customWidth="1"/>
    <col min="13061" max="13061" width="12.140625" style="43" customWidth="1"/>
    <col min="13062" max="13062" width="12.7109375" style="43" customWidth="1"/>
    <col min="13063" max="13069" width="0" style="43" hidden="1" customWidth="1"/>
    <col min="13070" max="13070" width="9.140625" style="43"/>
    <col min="13071" max="13071" width="0" style="43" hidden="1" customWidth="1"/>
    <col min="13072" max="13312" width="9.140625" style="43"/>
    <col min="13313" max="13313" width="9.85546875" style="43" customWidth="1"/>
    <col min="13314" max="13314" width="58.42578125" style="43" customWidth="1"/>
    <col min="13315" max="13315" width="15.140625" style="43" customWidth="1"/>
    <col min="13316" max="13316" width="15.85546875" style="43" customWidth="1"/>
    <col min="13317" max="13317" width="12.140625" style="43" customWidth="1"/>
    <col min="13318" max="13318" width="12.7109375" style="43" customWidth="1"/>
    <col min="13319" max="13325" width="0" style="43" hidden="1" customWidth="1"/>
    <col min="13326" max="13326" width="9.140625" style="43"/>
    <col min="13327" max="13327" width="0" style="43" hidden="1" customWidth="1"/>
    <col min="13328" max="13568" width="9.140625" style="43"/>
    <col min="13569" max="13569" width="9.85546875" style="43" customWidth="1"/>
    <col min="13570" max="13570" width="58.42578125" style="43" customWidth="1"/>
    <col min="13571" max="13571" width="15.140625" style="43" customWidth="1"/>
    <col min="13572" max="13572" width="15.85546875" style="43" customWidth="1"/>
    <col min="13573" max="13573" width="12.140625" style="43" customWidth="1"/>
    <col min="13574" max="13574" width="12.7109375" style="43" customWidth="1"/>
    <col min="13575" max="13581" width="0" style="43" hidden="1" customWidth="1"/>
    <col min="13582" max="13582" width="9.140625" style="43"/>
    <col min="13583" max="13583" width="0" style="43" hidden="1" customWidth="1"/>
    <col min="13584" max="13824" width="9.140625" style="43"/>
    <col min="13825" max="13825" width="9.85546875" style="43" customWidth="1"/>
    <col min="13826" max="13826" width="58.42578125" style="43" customWidth="1"/>
    <col min="13827" max="13827" width="15.140625" style="43" customWidth="1"/>
    <col min="13828" max="13828" width="15.85546875" style="43" customWidth="1"/>
    <col min="13829" max="13829" width="12.140625" style="43" customWidth="1"/>
    <col min="13830" max="13830" width="12.7109375" style="43" customWidth="1"/>
    <col min="13831" max="13837" width="0" style="43" hidden="1" customWidth="1"/>
    <col min="13838" max="13838" width="9.140625" style="43"/>
    <col min="13839" max="13839" width="0" style="43" hidden="1" customWidth="1"/>
    <col min="13840" max="14080" width="9.140625" style="43"/>
    <col min="14081" max="14081" width="9.85546875" style="43" customWidth="1"/>
    <col min="14082" max="14082" width="58.42578125" style="43" customWidth="1"/>
    <col min="14083" max="14083" width="15.140625" style="43" customWidth="1"/>
    <col min="14084" max="14084" width="15.85546875" style="43" customWidth="1"/>
    <col min="14085" max="14085" width="12.140625" style="43" customWidth="1"/>
    <col min="14086" max="14086" width="12.7109375" style="43" customWidth="1"/>
    <col min="14087" max="14093" width="0" style="43" hidden="1" customWidth="1"/>
    <col min="14094" max="14094" width="9.140625" style="43"/>
    <col min="14095" max="14095" width="0" style="43" hidden="1" customWidth="1"/>
    <col min="14096" max="14336" width="9.140625" style="43"/>
    <col min="14337" max="14337" width="9.85546875" style="43" customWidth="1"/>
    <col min="14338" max="14338" width="58.42578125" style="43" customWidth="1"/>
    <col min="14339" max="14339" width="15.140625" style="43" customWidth="1"/>
    <col min="14340" max="14340" width="15.85546875" style="43" customWidth="1"/>
    <col min="14341" max="14341" width="12.140625" style="43" customWidth="1"/>
    <col min="14342" max="14342" width="12.7109375" style="43" customWidth="1"/>
    <col min="14343" max="14349" width="0" style="43" hidden="1" customWidth="1"/>
    <col min="14350" max="14350" width="9.140625" style="43"/>
    <col min="14351" max="14351" width="0" style="43" hidden="1" customWidth="1"/>
    <col min="14352" max="14592" width="9.140625" style="43"/>
    <col min="14593" max="14593" width="9.85546875" style="43" customWidth="1"/>
    <col min="14594" max="14594" width="58.42578125" style="43" customWidth="1"/>
    <col min="14595" max="14595" width="15.140625" style="43" customWidth="1"/>
    <col min="14596" max="14596" width="15.85546875" style="43" customWidth="1"/>
    <col min="14597" max="14597" width="12.140625" style="43" customWidth="1"/>
    <col min="14598" max="14598" width="12.7109375" style="43" customWidth="1"/>
    <col min="14599" max="14605" width="0" style="43" hidden="1" customWidth="1"/>
    <col min="14606" max="14606" width="9.140625" style="43"/>
    <col min="14607" max="14607" width="0" style="43" hidden="1" customWidth="1"/>
    <col min="14608" max="14848" width="9.140625" style="43"/>
    <col min="14849" max="14849" width="9.85546875" style="43" customWidth="1"/>
    <col min="14850" max="14850" width="58.42578125" style="43" customWidth="1"/>
    <col min="14851" max="14851" width="15.140625" style="43" customWidth="1"/>
    <col min="14852" max="14852" width="15.85546875" style="43" customWidth="1"/>
    <col min="14853" max="14853" width="12.140625" style="43" customWidth="1"/>
    <col min="14854" max="14854" width="12.7109375" style="43" customWidth="1"/>
    <col min="14855" max="14861" width="0" style="43" hidden="1" customWidth="1"/>
    <col min="14862" max="14862" width="9.140625" style="43"/>
    <col min="14863" max="14863" width="0" style="43" hidden="1" customWidth="1"/>
    <col min="14864" max="15104" width="9.140625" style="43"/>
    <col min="15105" max="15105" width="9.85546875" style="43" customWidth="1"/>
    <col min="15106" max="15106" width="58.42578125" style="43" customWidth="1"/>
    <col min="15107" max="15107" width="15.140625" style="43" customWidth="1"/>
    <col min="15108" max="15108" width="15.85546875" style="43" customWidth="1"/>
    <col min="15109" max="15109" width="12.140625" style="43" customWidth="1"/>
    <col min="15110" max="15110" width="12.7109375" style="43" customWidth="1"/>
    <col min="15111" max="15117" width="0" style="43" hidden="1" customWidth="1"/>
    <col min="15118" max="15118" width="9.140625" style="43"/>
    <col min="15119" max="15119" width="0" style="43" hidden="1" customWidth="1"/>
    <col min="15120" max="15360" width="9.140625" style="43"/>
    <col min="15361" max="15361" width="9.85546875" style="43" customWidth="1"/>
    <col min="15362" max="15362" width="58.42578125" style="43" customWidth="1"/>
    <col min="15363" max="15363" width="15.140625" style="43" customWidth="1"/>
    <col min="15364" max="15364" width="15.85546875" style="43" customWidth="1"/>
    <col min="15365" max="15365" width="12.140625" style="43" customWidth="1"/>
    <col min="15366" max="15366" width="12.7109375" style="43" customWidth="1"/>
    <col min="15367" max="15373" width="0" style="43" hidden="1" customWidth="1"/>
    <col min="15374" max="15374" width="9.140625" style="43"/>
    <col min="15375" max="15375" width="0" style="43" hidden="1" customWidth="1"/>
    <col min="15376" max="15616" width="9.140625" style="43"/>
    <col min="15617" max="15617" width="9.85546875" style="43" customWidth="1"/>
    <col min="15618" max="15618" width="58.42578125" style="43" customWidth="1"/>
    <col min="15619" max="15619" width="15.140625" style="43" customWidth="1"/>
    <col min="15620" max="15620" width="15.85546875" style="43" customWidth="1"/>
    <col min="15621" max="15621" width="12.140625" style="43" customWidth="1"/>
    <col min="15622" max="15622" width="12.7109375" style="43" customWidth="1"/>
    <col min="15623" max="15629" width="0" style="43" hidden="1" customWidth="1"/>
    <col min="15630" max="15630" width="9.140625" style="43"/>
    <col min="15631" max="15631" width="0" style="43" hidden="1" customWidth="1"/>
    <col min="15632" max="15872" width="9.140625" style="43"/>
    <col min="15873" max="15873" width="9.85546875" style="43" customWidth="1"/>
    <col min="15874" max="15874" width="58.42578125" style="43" customWidth="1"/>
    <col min="15875" max="15875" width="15.140625" style="43" customWidth="1"/>
    <col min="15876" max="15876" width="15.85546875" style="43" customWidth="1"/>
    <col min="15877" max="15877" width="12.140625" style="43" customWidth="1"/>
    <col min="15878" max="15878" width="12.7109375" style="43" customWidth="1"/>
    <col min="15879" max="15885" width="0" style="43" hidden="1" customWidth="1"/>
    <col min="15886" max="15886" width="9.140625" style="43"/>
    <col min="15887" max="15887" width="0" style="43" hidden="1" customWidth="1"/>
    <col min="15888" max="16128" width="9.140625" style="43"/>
    <col min="16129" max="16129" width="9.85546875" style="43" customWidth="1"/>
    <col min="16130" max="16130" width="58.42578125" style="43" customWidth="1"/>
    <col min="16131" max="16131" width="15.140625" style="43" customWidth="1"/>
    <col min="16132" max="16132" width="15.85546875" style="43" customWidth="1"/>
    <col min="16133" max="16133" width="12.140625" style="43" customWidth="1"/>
    <col min="16134" max="16134" width="12.7109375" style="43" customWidth="1"/>
    <col min="16135" max="16141" width="0" style="43" hidden="1" customWidth="1"/>
    <col min="16142" max="16142" width="9.140625" style="43"/>
    <col min="16143" max="16143" width="0" style="43" hidden="1" customWidth="1"/>
    <col min="16144" max="16384" width="9.140625" style="43"/>
  </cols>
  <sheetData>
    <row r="1" spans="1:16" s="11" customFormat="1" ht="15.75" x14ac:dyDescent="0.25">
      <c r="A1" s="9"/>
      <c r="B1" s="9"/>
      <c r="C1" s="10" t="s">
        <v>186</v>
      </c>
      <c r="D1" s="10"/>
      <c r="E1" s="10"/>
      <c r="G1" s="12"/>
    </row>
    <row r="2" spans="1:16" s="11" customFormat="1" ht="18.75" x14ac:dyDescent="0.3">
      <c r="A2" s="9"/>
      <c r="B2" s="13"/>
      <c r="C2" s="14" t="s">
        <v>833</v>
      </c>
      <c r="D2" s="10"/>
      <c r="E2" s="10"/>
      <c r="G2" s="12"/>
    </row>
    <row r="3" spans="1:16" s="11" customFormat="1" ht="15.75" x14ac:dyDescent="0.25">
      <c r="A3" s="9"/>
      <c r="B3" s="9"/>
      <c r="C3" s="791" t="s">
        <v>1102</v>
      </c>
      <c r="D3" s="791"/>
      <c r="E3" s="791"/>
      <c r="G3" s="12"/>
    </row>
    <row r="4" spans="1:16" s="11" customFormat="1" ht="15.75" x14ac:dyDescent="0.2">
      <c r="A4" s="794" t="s">
        <v>770</v>
      </c>
      <c r="B4" s="794"/>
      <c r="C4" s="794"/>
      <c r="D4" s="794"/>
      <c r="E4" s="794"/>
      <c r="F4" s="794"/>
      <c r="G4" s="12"/>
    </row>
    <row r="5" spans="1:16" s="11" customFormat="1" ht="30.75" customHeight="1" x14ac:dyDescent="0.2">
      <c r="A5" s="795" t="s">
        <v>661</v>
      </c>
      <c r="B5" s="795"/>
      <c r="C5" s="795"/>
      <c r="D5" s="795"/>
      <c r="E5" s="795"/>
      <c r="F5" s="795"/>
      <c r="G5" s="12"/>
    </row>
    <row r="6" spans="1:16" s="11" customFormat="1" ht="17.25" customHeight="1" x14ac:dyDescent="0.2">
      <c r="A6" s="15"/>
      <c r="B6" s="16">
        <v>11503000000</v>
      </c>
      <c r="C6" s="15"/>
      <c r="D6" s="15"/>
      <c r="E6" s="15"/>
      <c r="F6" s="15"/>
      <c r="G6" s="12"/>
    </row>
    <row r="7" spans="1:16" s="11" customFormat="1" ht="31.5" customHeight="1" thickBot="1" x14ac:dyDescent="0.3">
      <c r="A7" s="15"/>
      <c r="B7" s="513" t="s">
        <v>2</v>
      </c>
      <c r="C7" s="15"/>
      <c r="D7" s="15"/>
      <c r="E7" s="15"/>
      <c r="F7" s="17" t="s">
        <v>188</v>
      </c>
      <c r="G7" s="12"/>
    </row>
    <row r="8" spans="1:16" s="11" customFormat="1" ht="12.75" customHeight="1" x14ac:dyDescent="0.2">
      <c r="A8" s="796" t="s">
        <v>189</v>
      </c>
      <c r="B8" s="798" t="s">
        <v>190</v>
      </c>
      <c r="C8" s="800" t="s">
        <v>10</v>
      </c>
      <c r="D8" s="798" t="s">
        <v>11</v>
      </c>
      <c r="E8" s="800" t="s">
        <v>12</v>
      </c>
      <c r="F8" s="803"/>
      <c r="G8" s="12"/>
    </row>
    <row r="9" spans="1:16" s="11" customFormat="1" ht="48" thickBot="1" x14ac:dyDescent="0.25">
      <c r="A9" s="797"/>
      <c r="B9" s="799"/>
      <c r="C9" s="801"/>
      <c r="D9" s="802"/>
      <c r="E9" s="758" t="s">
        <v>10</v>
      </c>
      <c r="F9" s="18" t="s">
        <v>14</v>
      </c>
      <c r="G9" s="12"/>
    </row>
    <row r="10" spans="1:16" s="11" customFormat="1" ht="17.25" customHeight="1" thickBot="1" x14ac:dyDescent="0.25">
      <c r="A10" s="756">
        <v>1</v>
      </c>
      <c r="B10" s="757">
        <v>2</v>
      </c>
      <c r="C10" s="19">
        <v>3</v>
      </c>
      <c r="D10" s="19">
        <v>4</v>
      </c>
      <c r="E10" s="19">
        <v>5</v>
      </c>
      <c r="F10" s="20">
        <v>6</v>
      </c>
      <c r="G10" s="12"/>
      <c r="P10" s="15"/>
    </row>
    <row r="11" spans="1:16" s="27" customFormat="1" ht="16.5" hidden="1" thickBot="1" x14ac:dyDescent="0.25">
      <c r="A11" s="21" t="s">
        <v>191</v>
      </c>
      <c r="B11" s="22" t="s">
        <v>192</v>
      </c>
      <c r="C11" s="23">
        <f>C12+C26+C32+C48+C21</f>
        <v>0</v>
      </c>
      <c r="D11" s="23">
        <f>D12+D26+D32+D48+D21</f>
        <v>0</v>
      </c>
      <c r="E11" s="23">
        <f>E48</f>
        <v>0</v>
      </c>
      <c r="F11" s="24"/>
      <c r="G11" s="25"/>
      <c r="H11" s="26"/>
    </row>
    <row r="12" spans="1:16" s="27" customFormat="1" ht="31.5" hidden="1" x14ac:dyDescent="0.2">
      <c r="A12" s="28" t="s">
        <v>193</v>
      </c>
      <c r="B12" s="29" t="s">
        <v>194</v>
      </c>
      <c r="C12" s="30">
        <f>C13+C19</f>
        <v>0</v>
      </c>
      <c r="D12" s="30">
        <f>D13+D19</f>
        <v>0</v>
      </c>
      <c r="E12" s="30">
        <f>E13</f>
        <v>0</v>
      </c>
      <c r="F12" s="31"/>
      <c r="G12" s="32"/>
    </row>
    <row r="13" spans="1:16" s="27" customFormat="1" ht="14.25" hidden="1" customHeight="1" x14ac:dyDescent="0.2">
      <c r="A13" s="33" t="s">
        <v>195</v>
      </c>
      <c r="B13" s="34" t="s">
        <v>196</v>
      </c>
      <c r="C13" s="35">
        <f>C14+C15+C16+C17+C18</f>
        <v>0</v>
      </c>
      <c r="D13" s="35">
        <f>D14+D15+D16+D17+D18</f>
        <v>0</v>
      </c>
      <c r="E13" s="35">
        <f>E14+E15+E16+E17+E18</f>
        <v>0</v>
      </c>
      <c r="F13" s="36"/>
      <c r="G13" s="32"/>
    </row>
    <row r="14" spans="1:16" ht="47.25" hidden="1" x14ac:dyDescent="0.2">
      <c r="A14" s="37" t="s">
        <v>197</v>
      </c>
      <c r="B14" s="38" t="s">
        <v>198</v>
      </c>
      <c r="C14" s="39">
        <f t="shared" ref="C14:C20" si="0">D14+E14</f>
        <v>0</v>
      </c>
      <c r="D14" s="40"/>
      <c r="E14" s="39">
        <v>0</v>
      </c>
      <c r="F14" s="41"/>
      <c r="G14" s="42"/>
    </row>
    <row r="15" spans="1:16" ht="78.75" hidden="1" x14ac:dyDescent="0.2">
      <c r="A15" s="37" t="s">
        <v>199</v>
      </c>
      <c r="B15" s="38" t="s">
        <v>200</v>
      </c>
      <c r="C15" s="39">
        <f t="shared" si="0"/>
        <v>0</v>
      </c>
      <c r="D15" s="39"/>
      <c r="E15" s="39">
        <v>0</v>
      </c>
      <c r="F15" s="41"/>
      <c r="G15" s="42"/>
    </row>
    <row r="16" spans="1:16" ht="47.25" hidden="1" customHeight="1" x14ac:dyDescent="0.2">
      <c r="A16" s="37" t="s">
        <v>201</v>
      </c>
      <c r="B16" s="38" t="s">
        <v>202</v>
      </c>
      <c r="C16" s="39">
        <f t="shared" si="0"/>
        <v>0</v>
      </c>
      <c r="D16" s="39"/>
      <c r="E16" s="39">
        <v>0</v>
      </c>
      <c r="F16" s="41"/>
      <c r="G16" s="42"/>
    </row>
    <row r="17" spans="1:7" ht="42" hidden="1" customHeight="1" x14ac:dyDescent="0.2">
      <c r="A17" s="37" t="s">
        <v>203</v>
      </c>
      <c r="B17" s="38" t="s">
        <v>204</v>
      </c>
      <c r="C17" s="39">
        <f t="shared" si="0"/>
        <v>0</v>
      </c>
      <c r="D17" s="39"/>
      <c r="E17" s="39">
        <v>0</v>
      </c>
      <c r="F17" s="41"/>
      <c r="G17" s="42"/>
    </row>
    <row r="18" spans="1:7" ht="64.5" hidden="1" customHeight="1" x14ac:dyDescent="0.2">
      <c r="A18" s="37" t="s">
        <v>205</v>
      </c>
      <c r="B18" s="38" t="s">
        <v>206</v>
      </c>
      <c r="C18" s="39">
        <f t="shared" si="0"/>
        <v>0</v>
      </c>
      <c r="D18" s="39"/>
      <c r="E18" s="39">
        <v>0</v>
      </c>
      <c r="F18" s="41"/>
      <c r="G18" s="42"/>
    </row>
    <row r="19" spans="1:7" s="27" customFormat="1" ht="36.75" hidden="1" customHeight="1" x14ac:dyDescent="0.2">
      <c r="A19" s="33">
        <v>11020000</v>
      </c>
      <c r="B19" s="34" t="s">
        <v>207</v>
      </c>
      <c r="C19" s="35">
        <f t="shared" si="0"/>
        <v>0</v>
      </c>
      <c r="D19" s="35">
        <f>D20</f>
        <v>0</v>
      </c>
      <c r="E19" s="35"/>
      <c r="F19" s="36"/>
      <c r="G19" s="32"/>
    </row>
    <row r="20" spans="1:7" ht="38.25" hidden="1" customHeight="1" x14ac:dyDescent="0.2">
      <c r="A20" s="37">
        <v>11020200</v>
      </c>
      <c r="B20" s="38" t="s">
        <v>208</v>
      </c>
      <c r="C20" s="39">
        <f t="shared" si="0"/>
        <v>0</v>
      </c>
      <c r="D20" s="39"/>
      <c r="E20" s="39"/>
      <c r="F20" s="41"/>
      <c r="G20" s="42"/>
    </row>
    <row r="21" spans="1:7" s="27" customFormat="1" ht="36" hidden="1" customHeight="1" x14ac:dyDescent="0.2">
      <c r="A21" s="33">
        <v>13000000</v>
      </c>
      <c r="B21" s="34" t="s">
        <v>209</v>
      </c>
      <c r="C21" s="35">
        <f>C22+C24</f>
        <v>0</v>
      </c>
      <c r="D21" s="35">
        <f>D22+D24</f>
        <v>0</v>
      </c>
      <c r="E21" s="35"/>
      <c r="F21" s="36"/>
      <c r="G21" s="32"/>
    </row>
    <row r="22" spans="1:7" s="27" customFormat="1" ht="27" hidden="1" customHeight="1" x14ac:dyDescent="0.2">
      <c r="A22" s="33">
        <v>13010000</v>
      </c>
      <c r="B22" s="34" t="s">
        <v>210</v>
      </c>
      <c r="C22" s="35">
        <f>C23</f>
        <v>0</v>
      </c>
      <c r="D22" s="35">
        <f>D23</f>
        <v>0</v>
      </c>
      <c r="E22" s="35"/>
      <c r="F22" s="36"/>
      <c r="G22" s="32"/>
    </row>
    <row r="23" spans="1:7" ht="66" hidden="1" customHeight="1" x14ac:dyDescent="0.2">
      <c r="A23" s="37">
        <v>13010200</v>
      </c>
      <c r="B23" s="38" t="s">
        <v>211</v>
      </c>
      <c r="C23" s="39">
        <f>D23+E23</f>
        <v>0</v>
      </c>
      <c r="D23" s="39">
        <v>0</v>
      </c>
      <c r="E23" s="39"/>
      <c r="F23" s="41"/>
      <c r="G23" s="42"/>
    </row>
    <row r="24" spans="1:7" s="27" customFormat="1" ht="30" hidden="1" customHeight="1" x14ac:dyDescent="0.2">
      <c r="A24" s="33">
        <v>13030000</v>
      </c>
      <c r="B24" s="34" t="s">
        <v>212</v>
      </c>
      <c r="C24" s="35">
        <f>C25</f>
        <v>0</v>
      </c>
      <c r="D24" s="35">
        <f>D25</f>
        <v>0</v>
      </c>
      <c r="E24" s="35"/>
      <c r="F24" s="36"/>
      <c r="G24" s="32"/>
    </row>
    <row r="25" spans="1:7" ht="49.5" hidden="1" customHeight="1" x14ac:dyDescent="0.2">
      <c r="A25" s="37">
        <v>13030100</v>
      </c>
      <c r="B25" s="38" t="s">
        <v>213</v>
      </c>
      <c r="C25" s="39">
        <f>D25+E25</f>
        <v>0</v>
      </c>
      <c r="D25" s="39"/>
      <c r="E25" s="39">
        <v>0</v>
      </c>
      <c r="F25" s="41"/>
      <c r="G25" s="42"/>
    </row>
    <row r="26" spans="1:7" s="27" customFormat="1" ht="14.25" hidden="1" customHeight="1" x14ac:dyDescent="0.2">
      <c r="A26" s="33" t="s">
        <v>214</v>
      </c>
      <c r="B26" s="34" t="s">
        <v>215</v>
      </c>
      <c r="C26" s="35">
        <f>C27+C29+C31</f>
        <v>0</v>
      </c>
      <c r="D26" s="35">
        <f>D27+D29+D31</f>
        <v>0</v>
      </c>
      <c r="E26" s="35">
        <f>E27+E29+E31</f>
        <v>0</v>
      </c>
      <c r="F26" s="36"/>
      <c r="G26" s="32"/>
    </row>
    <row r="27" spans="1:7" s="27" customFormat="1" ht="31.5" hidden="1" x14ac:dyDescent="0.2">
      <c r="A27" s="33" t="s">
        <v>216</v>
      </c>
      <c r="B27" s="34" t="s">
        <v>217</v>
      </c>
      <c r="C27" s="35">
        <f>C28</f>
        <v>0</v>
      </c>
      <c r="D27" s="35">
        <f>D28</f>
        <v>0</v>
      </c>
      <c r="E27" s="35">
        <f>E28</f>
        <v>0</v>
      </c>
      <c r="F27" s="36"/>
      <c r="G27" s="32"/>
    </row>
    <row r="28" spans="1:7" ht="14.25" hidden="1" customHeight="1" x14ac:dyDescent="0.2">
      <c r="A28" s="37" t="s">
        <v>218</v>
      </c>
      <c r="B28" s="38" t="s">
        <v>219</v>
      </c>
      <c r="C28" s="39">
        <f>D28+E28</f>
        <v>0</v>
      </c>
      <c r="D28" s="39"/>
      <c r="E28" s="39">
        <v>0</v>
      </c>
      <c r="F28" s="41"/>
      <c r="G28" s="42"/>
    </row>
    <row r="29" spans="1:7" s="27" customFormat="1" ht="31.5" hidden="1" x14ac:dyDescent="0.2">
      <c r="A29" s="33" t="s">
        <v>220</v>
      </c>
      <c r="B29" s="34" t="s">
        <v>221</v>
      </c>
      <c r="C29" s="35">
        <f>C30</f>
        <v>0</v>
      </c>
      <c r="D29" s="35">
        <f>D30</f>
        <v>0</v>
      </c>
      <c r="E29" s="35">
        <f>E30</f>
        <v>0</v>
      </c>
      <c r="F29" s="36"/>
      <c r="G29" s="32"/>
    </row>
    <row r="30" spans="1:7" ht="14.25" hidden="1" customHeight="1" x14ac:dyDescent="0.2">
      <c r="A30" s="37" t="s">
        <v>222</v>
      </c>
      <c r="B30" s="38" t="s">
        <v>219</v>
      </c>
      <c r="C30" s="39">
        <f>D30+E30</f>
        <v>0</v>
      </c>
      <c r="D30" s="39"/>
      <c r="E30" s="39">
        <v>0</v>
      </c>
      <c r="F30" s="41"/>
      <c r="G30" s="42"/>
    </row>
    <row r="31" spans="1:7" ht="31.5" hidden="1" x14ac:dyDescent="0.2">
      <c r="A31" s="37" t="s">
        <v>223</v>
      </c>
      <c r="B31" s="38" t="s">
        <v>224</v>
      </c>
      <c r="C31" s="39">
        <f>D31+E31</f>
        <v>0</v>
      </c>
      <c r="D31" s="39"/>
      <c r="E31" s="39">
        <v>0</v>
      </c>
      <c r="F31" s="41"/>
      <c r="G31" s="42"/>
    </row>
    <row r="32" spans="1:7" s="27" customFormat="1" ht="14.25" hidden="1" customHeight="1" x14ac:dyDescent="0.2">
      <c r="A32" s="33" t="s">
        <v>225</v>
      </c>
      <c r="B32" s="34" t="s">
        <v>226</v>
      </c>
      <c r="C32" s="35">
        <f>C33+C44</f>
        <v>0</v>
      </c>
      <c r="D32" s="35">
        <f>D33+D44</f>
        <v>0</v>
      </c>
      <c r="E32" s="35">
        <f>E33+E44</f>
        <v>0</v>
      </c>
      <c r="F32" s="36"/>
      <c r="G32" s="32"/>
    </row>
    <row r="33" spans="1:7" s="27" customFormat="1" ht="14.25" hidden="1" customHeight="1" x14ac:dyDescent="0.2">
      <c r="A33" s="33" t="s">
        <v>227</v>
      </c>
      <c r="B33" s="34" t="s">
        <v>228</v>
      </c>
      <c r="C33" s="35">
        <f>C34+C35+C36+C37+C38+C39+C40+C41+C42+C43</f>
        <v>0</v>
      </c>
      <c r="D33" s="35">
        <f>D34+D35+D36+D37+D38+D39+D40+D41+D42+D43</f>
        <v>0</v>
      </c>
      <c r="E33" s="35">
        <f>E34+E35+E36+E37+E38+E39+E40+E41+E42+E43</f>
        <v>0</v>
      </c>
      <c r="F33" s="36"/>
      <c r="G33" s="32"/>
    </row>
    <row r="34" spans="1:7" ht="47.25" hidden="1" x14ac:dyDescent="0.2">
      <c r="A34" s="37" t="s">
        <v>229</v>
      </c>
      <c r="B34" s="38" t="s">
        <v>230</v>
      </c>
      <c r="C34" s="39">
        <f t="shared" ref="C34:C47" si="1">D34+E34</f>
        <v>0</v>
      </c>
      <c r="D34" s="39"/>
      <c r="E34" s="39">
        <v>0</v>
      </c>
      <c r="F34" s="41"/>
      <c r="G34" s="42"/>
    </row>
    <row r="35" spans="1:7" ht="47.25" hidden="1" x14ac:dyDescent="0.2">
      <c r="A35" s="37" t="s">
        <v>231</v>
      </c>
      <c r="B35" s="38" t="s">
        <v>232</v>
      </c>
      <c r="C35" s="39">
        <f t="shared" si="1"/>
        <v>0</v>
      </c>
      <c r="D35" s="39"/>
      <c r="E35" s="39">
        <v>0</v>
      </c>
      <c r="F35" s="41"/>
      <c r="G35" s="42"/>
    </row>
    <row r="36" spans="1:7" ht="47.25" hidden="1" x14ac:dyDescent="0.2">
      <c r="A36" s="37" t="s">
        <v>233</v>
      </c>
      <c r="B36" s="38" t="s">
        <v>234</v>
      </c>
      <c r="C36" s="39">
        <f t="shared" si="1"/>
        <v>0</v>
      </c>
      <c r="D36" s="39"/>
      <c r="E36" s="39">
        <v>0</v>
      </c>
      <c r="F36" s="41"/>
      <c r="G36" s="42"/>
    </row>
    <row r="37" spans="1:7" ht="47.25" hidden="1" x14ac:dyDescent="0.2">
      <c r="A37" s="37" t="s">
        <v>235</v>
      </c>
      <c r="B37" s="38" t="s">
        <v>236</v>
      </c>
      <c r="C37" s="39">
        <f t="shared" si="1"/>
        <v>0</v>
      </c>
      <c r="D37" s="39"/>
      <c r="E37" s="39">
        <v>0</v>
      </c>
      <c r="F37" s="41"/>
      <c r="G37" s="42"/>
    </row>
    <row r="38" spans="1:7" ht="14.25" hidden="1" customHeight="1" x14ac:dyDescent="0.2">
      <c r="A38" s="37" t="s">
        <v>237</v>
      </c>
      <c r="B38" s="38" t="s">
        <v>238</v>
      </c>
      <c r="C38" s="39">
        <f t="shared" si="1"/>
        <v>0</v>
      </c>
      <c r="D38" s="39"/>
      <c r="E38" s="39">
        <v>0</v>
      </c>
      <c r="F38" s="41"/>
      <c r="G38" s="42"/>
    </row>
    <row r="39" spans="1:7" ht="14.25" hidden="1" customHeight="1" x14ac:dyDescent="0.2">
      <c r="A39" s="37" t="s">
        <v>239</v>
      </c>
      <c r="B39" s="38" t="s">
        <v>240</v>
      </c>
      <c r="C39" s="39">
        <f t="shared" si="1"/>
        <v>0</v>
      </c>
      <c r="D39" s="39"/>
      <c r="E39" s="39">
        <v>0</v>
      </c>
      <c r="F39" s="41"/>
      <c r="G39" s="42"/>
    </row>
    <row r="40" spans="1:7" ht="14.25" hidden="1" customHeight="1" x14ac:dyDescent="0.2">
      <c r="A40" s="37" t="s">
        <v>241</v>
      </c>
      <c r="B40" s="38" t="s">
        <v>242</v>
      </c>
      <c r="C40" s="39">
        <f t="shared" si="1"/>
        <v>0</v>
      </c>
      <c r="D40" s="39"/>
      <c r="E40" s="39">
        <v>0</v>
      </c>
      <c r="F40" s="41"/>
      <c r="G40" s="42"/>
    </row>
    <row r="41" spans="1:7" ht="14.25" hidden="1" customHeight="1" x14ac:dyDescent="0.2">
      <c r="A41" s="37" t="s">
        <v>243</v>
      </c>
      <c r="B41" s="38" t="s">
        <v>244</v>
      </c>
      <c r="C41" s="39">
        <f t="shared" si="1"/>
        <v>0</v>
      </c>
      <c r="D41" s="39"/>
      <c r="E41" s="39">
        <v>0</v>
      </c>
      <c r="F41" s="41"/>
      <c r="G41" s="42"/>
    </row>
    <row r="42" spans="1:7" ht="14.25" hidden="1" customHeight="1" x14ac:dyDescent="0.2">
      <c r="A42" s="37" t="s">
        <v>245</v>
      </c>
      <c r="B42" s="38" t="s">
        <v>246</v>
      </c>
      <c r="C42" s="39">
        <f t="shared" si="1"/>
        <v>0</v>
      </c>
      <c r="D42" s="39"/>
      <c r="E42" s="39">
        <v>0</v>
      </c>
      <c r="F42" s="41"/>
      <c r="G42" s="42"/>
    </row>
    <row r="43" spans="1:7" ht="14.25" hidden="1" customHeight="1" x14ac:dyDescent="0.2">
      <c r="A43" s="37" t="s">
        <v>247</v>
      </c>
      <c r="B43" s="38" t="s">
        <v>248</v>
      </c>
      <c r="C43" s="39">
        <f t="shared" si="1"/>
        <v>0</v>
      </c>
      <c r="D43" s="39"/>
      <c r="E43" s="39">
        <v>0</v>
      </c>
      <c r="F43" s="41"/>
      <c r="G43" s="42"/>
    </row>
    <row r="44" spans="1:7" s="27" customFormat="1" ht="14.25" hidden="1" customHeight="1" x14ac:dyDescent="0.2">
      <c r="A44" s="33" t="s">
        <v>249</v>
      </c>
      <c r="B44" s="34" t="s">
        <v>250</v>
      </c>
      <c r="C44" s="35">
        <f>C45+C46+C47</f>
        <v>0</v>
      </c>
      <c r="D44" s="35">
        <f>D45+D46+D47</f>
        <v>0</v>
      </c>
      <c r="E44" s="35">
        <f>E45+E46+E47</f>
        <v>0</v>
      </c>
      <c r="F44" s="36"/>
      <c r="G44" s="32"/>
    </row>
    <row r="45" spans="1:7" ht="14.25" hidden="1" customHeight="1" x14ac:dyDescent="0.2">
      <c r="A45" s="37" t="s">
        <v>251</v>
      </c>
      <c r="B45" s="38" t="s">
        <v>252</v>
      </c>
      <c r="C45" s="39">
        <f t="shared" si="1"/>
        <v>0</v>
      </c>
      <c r="D45" s="39"/>
      <c r="E45" s="39">
        <v>0</v>
      </c>
      <c r="F45" s="41"/>
      <c r="G45" s="42"/>
    </row>
    <row r="46" spans="1:7" ht="14.25" hidden="1" customHeight="1" x14ac:dyDescent="0.2">
      <c r="A46" s="37" t="s">
        <v>253</v>
      </c>
      <c r="B46" s="38" t="s">
        <v>254</v>
      </c>
      <c r="C46" s="39">
        <f t="shared" si="1"/>
        <v>0</v>
      </c>
      <c r="D46" s="39"/>
      <c r="E46" s="39">
        <v>0</v>
      </c>
      <c r="F46" s="41"/>
      <c r="G46" s="42"/>
    </row>
    <row r="47" spans="1:7" ht="63" hidden="1" x14ac:dyDescent="0.2">
      <c r="A47" s="37" t="s">
        <v>255</v>
      </c>
      <c r="B47" s="38" t="s">
        <v>256</v>
      </c>
      <c r="C47" s="39">
        <f t="shared" si="1"/>
        <v>0</v>
      </c>
      <c r="D47" s="39"/>
      <c r="E47" s="39">
        <v>0</v>
      </c>
      <c r="F47" s="41"/>
      <c r="G47" s="42"/>
    </row>
    <row r="48" spans="1:7" s="27" customFormat="1" ht="14.25" hidden="1" customHeight="1" x14ac:dyDescent="0.2">
      <c r="A48" s="33" t="s">
        <v>257</v>
      </c>
      <c r="B48" s="34" t="s">
        <v>258</v>
      </c>
      <c r="C48" s="35">
        <f>C49</f>
        <v>0</v>
      </c>
      <c r="D48" s="35">
        <f>D49</f>
        <v>0</v>
      </c>
      <c r="E48" s="35">
        <f>E49</f>
        <v>0</v>
      </c>
      <c r="F48" s="36"/>
      <c r="G48" s="32"/>
    </row>
    <row r="49" spans="1:7" s="27" customFormat="1" ht="14.25" hidden="1" customHeight="1" x14ac:dyDescent="0.2">
      <c r="A49" s="33" t="s">
        <v>259</v>
      </c>
      <c r="B49" s="34" t="s">
        <v>260</v>
      </c>
      <c r="C49" s="35">
        <f>C50+C51+C52</f>
        <v>0</v>
      </c>
      <c r="D49" s="35">
        <f>D50+D51+D52</f>
        <v>0</v>
      </c>
      <c r="E49" s="35">
        <f>E50+E51+E52</f>
        <v>0</v>
      </c>
      <c r="F49" s="36"/>
      <c r="G49" s="32"/>
    </row>
    <row r="50" spans="1:7" ht="63" hidden="1" x14ac:dyDescent="0.2">
      <c r="A50" s="37" t="s">
        <v>261</v>
      </c>
      <c r="B50" s="38" t="s">
        <v>262</v>
      </c>
      <c r="C50" s="39">
        <f>D50+E50</f>
        <v>0</v>
      </c>
      <c r="D50" s="39">
        <v>0</v>
      </c>
      <c r="E50" s="39"/>
      <c r="F50" s="41"/>
      <c r="G50" s="42"/>
    </row>
    <row r="51" spans="1:7" ht="31.5" hidden="1" x14ac:dyDescent="0.2">
      <c r="A51" s="37" t="s">
        <v>263</v>
      </c>
      <c r="B51" s="38" t="s">
        <v>264</v>
      </c>
      <c r="C51" s="39">
        <f>D51+E51</f>
        <v>0</v>
      </c>
      <c r="D51" s="39">
        <v>0</v>
      </c>
      <c r="E51" s="39"/>
      <c r="F51" s="41"/>
      <c r="G51" s="42"/>
    </row>
    <row r="52" spans="1:7" ht="56.25" hidden="1" customHeight="1" thickBot="1" x14ac:dyDescent="0.25">
      <c r="A52" s="44" t="s">
        <v>265</v>
      </c>
      <c r="B52" s="45" t="s">
        <v>266</v>
      </c>
      <c r="C52" s="46">
        <f>D52+E52</f>
        <v>0</v>
      </c>
      <c r="D52" s="46">
        <v>0</v>
      </c>
      <c r="E52" s="46"/>
      <c r="F52" s="47"/>
      <c r="G52" s="42"/>
    </row>
    <row r="53" spans="1:7" s="27" customFormat="1" ht="14.25" hidden="1" customHeight="1" thickBot="1" x14ac:dyDescent="0.25">
      <c r="A53" s="21" t="s">
        <v>267</v>
      </c>
      <c r="B53" s="22" t="s">
        <v>268</v>
      </c>
      <c r="C53" s="23">
        <f>C54+C58+C66</f>
        <v>0</v>
      </c>
      <c r="D53" s="23">
        <f>D54+D58+D66</f>
        <v>0</v>
      </c>
      <c r="E53" s="23">
        <f>E54+E58+E66</f>
        <v>0</v>
      </c>
      <c r="F53" s="24">
        <f>F54+F58+F66</f>
        <v>0</v>
      </c>
      <c r="G53" s="32"/>
    </row>
    <row r="54" spans="1:7" s="27" customFormat="1" ht="14.25" hidden="1" customHeight="1" x14ac:dyDescent="0.2">
      <c r="A54" s="28" t="s">
        <v>269</v>
      </c>
      <c r="B54" s="29" t="s">
        <v>270</v>
      </c>
      <c r="C54" s="30">
        <f>C55</f>
        <v>0</v>
      </c>
      <c r="D54" s="30">
        <f>D55</f>
        <v>0</v>
      </c>
      <c r="E54" s="30">
        <f>E55</f>
        <v>0</v>
      </c>
      <c r="F54" s="31"/>
      <c r="G54" s="32"/>
    </row>
    <row r="55" spans="1:7" s="27" customFormat="1" ht="14.25" hidden="1" customHeight="1" x14ac:dyDescent="0.2">
      <c r="A55" s="33" t="s">
        <v>271</v>
      </c>
      <c r="B55" s="34" t="s">
        <v>272</v>
      </c>
      <c r="C55" s="35">
        <f>C56+C57</f>
        <v>0</v>
      </c>
      <c r="D55" s="35">
        <f>D56+D57</f>
        <v>0</v>
      </c>
      <c r="E55" s="35">
        <f>E56+E57</f>
        <v>0</v>
      </c>
      <c r="F55" s="36"/>
      <c r="G55" s="32"/>
    </row>
    <row r="56" spans="1:7" ht="14.25" hidden="1" customHeight="1" x14ac:dyDescent="0.2">
      <c r="A56" s="37" t="s">
        <v>273</v>
      </c>
      <c r="B56" s="38" t="s">
        <v>274</v>
      </c>
      <c r="C56" s="39">
        <f>D56+E56</f>
        <v>0</v>
      </c>
      <c r="D56" s="39"/>
      <c r="E56" s="39">
        <v>0</v>
      </c>
      <c r="F56" s="41"/>
      <c r="G56" s="42"/>
    </row>
    <row r="57" spans="1:7" ht="47.25" hidden="1" x14ac:dyDescent="0.2">
      <c r="A57" s="37" t="s">
        <v>275</v>
      </c>
      <c r="B57" s="38" t="s">
        <v>276</v>
      </c>
      <c r="C57" s="39">
        <f>D57+E57</f>
        <v>0</v>
      </c>
      <c r="D57" s="39"/>
      <c r="E57" s="39">
        <v>0</v>
      </c>
      <c r="F57" s="41"/>
      <c r="G57" s="42"/>
    </row>
    <row r="58" spans="1:7" s="27" customFormat="1" ht="31.5" hidden="1" x14ac:dyDescent="0.2">
      <c r="A58" s="33" t="s">
        <v>277</v>
      </c>
      <c r="B58" s="34" t="s">
        <v>278</v>
      </c>
      <c r="C58" s="35">
        <f>C59+C63</f>
        <v>0</v>
      </c>
      <c r="D58" s="35">
        <f>D59+D63</f>
        <v>0</v>
      </c>
      <c r="E58" s="35">
        <f>E59+E63</f>
        <v>0</v>
      </c>
      <c r="F58" s="36"/>
      <c r="G58" s="32"/>
    </row>
    <row r="59" spans="1:7" s="27" customFormat="1" ht="14.25" hidden="1" customHeight="1" x14ac:dyDescent="0.2">
      <c r="A59" s="33" t="s">
        <v>279</v>
      </c>
      <c r="B59" s="34" t="s">
        <v>280</v>
      </c>
      <c r="C59" s="35">
        <f>C60+C61+C62</f>
        <v>0</v>
      </c>
      <c r="D59" s="35">
        <f>D60+D61+D62</f>
        <v>0</v>
      </c>
      <c r="E59" s="35">
        <f>E60+E61+E62</f>
        <v>0</v>
      </c>
      <c r="F59" s="36"/>
      <c r="G59" s="32"/>
    </row>
    <row r="60" spans="1:7" ht="47.25" hidden="1" x14ac:dyDescent="0.2">
      <c r="A60" s="37" t="s">
        <v>281</v>
      </c>
      <c r="B60" s="38" t="s">
        <v>282</v>
      </c>
      <c r="C60" s="39">
        <f t="shared" ref="C60:C71" si="2">D60+E60</f>
        <v>0</v>
      </c>
      <c r="D60" s="39"/>
      <c r="E60" s="39">
        <v>0</v>
      </c>
      <c r="F60" s="41"/>
      <c r="G60" s="42"/>
    </row>
    <row r="61" spans="1:7" ht="14.25" hidden="1" customHeight="1" x14ac:dyDescent="0.2">
      <c r="A61" s="37" t="s">
        <v>283</v>
      </c>
      <c r="B61" s="38" t="s">
        <v>284</v>
      </c>
      <c r="C61" s="39">
        <f t="shared" si="2"/>
        <v>0</v>
      </c>
      <c r="D61" s="39"/>
      <c r="E61" s="39">
        <v>0</v>
      </c>
      <c r="F61" s="41"/>
      <c r="G61" s="42"/>
    </row>
    <row r="62" spans="1:7" ht="31.5" hidden="1" x14ac:dyDescent="0.2">
      <c r="A62" s="37" t="s">
        <v>285</v>
      </c>
      <c r="B62" s="38" t="s">
        <v>286</v>
      </c>
      <c r="C62" s="39">
        <f t="shared" si="2"/>
        <v>0</v>
      </c>
      <c r="D62" s="39"/>
      <c r="E62" s="39">
        <v>0</v>
      </c>
      <c r="F62" s="41"/>
      <c r="G62" s="42"/>
    </row>
    <row r="63" spans="1:7" s="27" customFormat="1" ht="14.25" hidden="1" customHeight="1" x14ac:dyDescent="0.2">
      <c r="A63" s="33" t="s">
        <v>287</v>
      </c>
      <c r="B63" s="34" t="s">
        <v>288</v>
      </c>
      <c r="C63" s="35">
        <f>C64+C65</f>
        <v>0</v>
      </c>
      <c r="D63" s="35">
        <f>D64+D65</f>
        <v>0</v>
      </c>
      <c r="E63" s="35">
        <f>E64+E65</f>
        <v>0</v>
      </c>
      <c r="F63" s="36"/>
      <c r="G63" s="32"/>
    </row>
    <row r="64" spans="1:7" ht="47.25" hidden="1" x14ac:dyDescent="0.2">
      <c r="A64" s="37" t="s">
        <v>289</v>
      </c>
      <c r="B64" s="38" t="s">
        <v>290</v>
      </c>
      <c r="C64" s="39">
        <f t="shared" si="2"/>
        <v>0</v>
      </c>
      <c r="D64" s="39"/>
      <c r="E64" s="39">
        <v>0</v>
      </c>
      <c r="F64" s="41"/>
      <c r="G64" s="42"/>
    </row>
    <row r="65" spans="1:12" ht="14.25" hidden="1" customHeight="1" x14ac:dyDescent="0.2">
      <c r="A65" s="37" t="s">
        <v>291</v>
      </c>
      <c r="B65" s="38" t="s">
        <v>292</v>
      </c>
      <c r="C65" s="39">
        <f t="shared" si="2"/>
        <v>0</v>
      </c>
      <c r="D65" s="39"/>
      <c r="E65" s="39">
        <v>0</v>
      </c>
      <c r="F65" s="41"/>
      <c r="G65" s="42"/>
    </row>
    <row r="66" spans="1:12" s="27" customFormat="1" ht="14.25" hidden="1" customHeight="1" x14ac:dyDescent="0.2">
      <c r="A66" s="33" t="s">
        <v>293</v>
      </c>
      <c r="B66" s="34" t="s">
        <v>294</v>
      </c>
      <c r="C66" s="39">
        <f t="shared" si="2"/>
        <v>0</v>
      </c>
      <c r="D66" s="35">
        <f>D67</f>
        <v>0</v>
      </c>
      <c r="E66" s="35">
        <f>E67</f>
        <v>0</v>
      </c>
      <c r="F66" s="36"/>
      <c r="G66" s="32"/>
      <c r="H66" s="27">
        <v>250101</v>
      </c>
      <c r="I66" s="27">
        <v>250103</v>
      </c>
      <c r="J66" s="27" t="s">
        <v>295</v>
      </c>
    </row>
    <row r="67" spans="1:12" s="27" customFormat="1" ht="31.5" hidden="1" x14ac:dyDescent="0.2">
      <c r="A67" s="33" t="s">
        <v>296</v>
      </c>
      <c r="B67" s="34" t="s">
        <v>297</v>
      </c>
      <c r="C67" s="39">
        <f t="shared" si="2"/>
        <v>0</v>
      </c>
      <c r="D67" s="35">
        <f>D68+D69</f>
        <v>0</v>
      </c>
      <c r="E67" s="35">
        <f>E68+E69</f>
        <v>0</v>
      </c>
      <c r="F67" s="36"/>
      <c r="G67" s="42" t="s">
        <v>298</v>
      </c>
      <c r="H67" s="43">
        <f>116523+12800+1200</f>
        <v>130523</v>
      </c>
      <c r="I67" s="43"/>
      <c r="J67" s="43">
        <f>H67+I67</f>
        <v>130523</v>
      </c>
    </row>
    <row r="68" spans="1:12" ht="31.5" hidden="1" x14ac:dyDescent="0.2">
      <c r="A68" s="37" t="s">
        <v>299</v>
      </c>
      <c r="B68" s="38" t="s">
        <v>300</v>
      </c>
      <c r="C68" s="39">
        <f t="shared" si="2"/>
        <v>0</v>
      </c>
      <c r="D68" s="48">
        <v>0</v>
      </c>
      <c r="E68" s="48"/>
      <c r="F68" s="41"/>
      <c r="G68" s="42" t="s">
        <v>301</v>
      </c>
      <c r="H68" s="43">
        <v>60000</v>
      </c>
      <c r="J68" s="43">
        <f>H68+I68</f>
        <v>60000</v>
      </c>
      <c r="L68" s="43" t="s">
        <v>302</v>
      </c>
    </row>
    <row r="69" spans="1:12" ht="51" hidden="1" customHeight="1" thickBot="1" x14ac:dyDescent="0.25">
      <c r="A69" s="44" t="s">
        <v>303</v>
      </c>
      <c r="B69" s="45" t="s">
        <v>304</v>
      </c>
      <c r="C69" s="46">
        <f t="shared" si="2"/>
        <v>0</v>
      </c>
      <c r="D69" s="49">
        <v>0</v>
      </c>
      <c r="E69" s="46"/>
      <c r="F69" s="47"/>
      <c r="G69" s="32" t="s">
        <v>305</v>
      </c>
      <c r="H69" s="27">
        <v>1238870</v>
      </c>
      <c r="I69" s="27">
        <v>34104</v>
      </c>
      <c r="J69" s="43">
        <f>H69+I69</f>
        <v>1272974</v>
      </c>
      <c r="L69" s="43" t="s">
        <v>306</v>
      </c>
    </row>
    <row r="70" spans="1:12" s="27" customFormat="1" ht="14.25" hidden="1" customHeight="1" thickBot="1" x14ac:dyDescent="0.25">
      <c r="A70" s="21" t="s">
        <v>307</v>
      </c>
      <c r="B70" s="22" t="s">
        <v>308</v>
      </c>
      <c r="C70" s="50">
        <f t="shared" si="2"/>
        <v>0</v>
      </c>
      <c r="D70" s="23">
        <f>D71+D74</f>
        <v>0</v>
      </c>
      <c r="E70" s="23">
        <f>E71+E74</f>
        <v>0</v>
      </c>
      <c r="F70" s="24">
        <f>F71+F74</f>
        <v>0</v>
      </c>
      <c r="G70" s="32" t="s">
        <v>295</v>
      </c>
      <c r="H70" s="27">
        <f>SUM(H67:H69)</f>
        <v>1429393</v>
      </c>
      <c r="I70" s="27">
        <f>SUM(I67:I69)</f>
        <v>34104</v>
      </c>
      <c r="J70" s="27">
        <f>SUM(J67:J69)</f>
        <v>1463497</v>
      </c>
    </row>
    <row r="71" spans="1:12" s="27" customFormat="1" ht="14.25" hidden="1" customHeight="1" x14ac:dyDescent="0.2">
      <c r="A71" s="28" t="s">
        <v>309</v>
      </c>
      <c r="B71" s="29" t="s">
        <v>310</v>
      </c>
      <c r="C71" s="51">
        <f t="shared" si="2"/>
        <v>0</v>
      </c>
      <c r="D71" s="30">
        <f t="shared" ref="D71:F72" si="3">D72</f>
        <v>0</v>
      </c>
      <c r="E71" s="30">
        <f t="shared" si="3"/>
        <v>0</v>
      </c>
      <c r="F71" s="31">
        <f t="shared" si="3"/>
        <v>0</v>
      </c>
      <c r="G71" s="32"/>
    </row>
    <row r="72" spans="1:12" s="27" customFormat="1" ht="78.75" hidden="1" x14ac:dyDescent="0.2">
      <c r="A72" s="33" t="s">
        <v>311</v>
      </c>
      <c r="B72" s="34" t="s">
        <v>312</v>
      </c>
      <c r="C72" s="35">
        <f>C73</f>
        <v>0</v>
      </c>
      <c r="D72" s="35">
        <f t="shared" si="3"/>
        <v>0</v>
      </c>
      <c r="E72" s="35">
        <f t="shared" si="3"/>
        <v>0</v>
      </c>
      <c r="F72" s="36">
        <f t="shared" si="3"/>
        <v>0</v>
      </c>
      <c r="G72" s="32"/>
    </row>
    <row r="73" spans="1:12" ht="61.5" hidden="1" customHeight="1" x14ac:dyDescent="0.2">
      <c r="A73" s="37" t="s">
        <v>313</v>
      </c>
      <c r="B73" s="38" t="s">
        <v>314</v>
      </c>
      <c r="C73" s="39">
        <f>D73+E73</f>
        <v>0</v>
      </c>
      <c r="D73" s="39"/>
      <c r="E73" s="39">
        <v>0</v>
      </c>
      <c r="F73" s="41"/>
      <c r="G73" s="42"/>
    </row>
    <row r="74" spans="1:12" s="27" customFormat="1" ht="14.25" hidden="1" customHeight="1" x14ac:dyDescent="0.2">
      <c r="A74" s="33" t="s">
        <v>315</v>
      </c>
      <c r="B74" s="34" t="s">
        <v>316</v>
      </c>
      <c r="C74" s="35">
        <f>C75</f>
        <v>0</v>
      </c>
      <c r="D74" s="35">
        <f t="shared" ref="D74:F75" si="4">D75</f>
        <v>0</v>
      </c>
      <c r="E74" s="35">
        <f t="shared" si="4"/>
        <v>0</v>
      </c>
      <c r="F74" s="36">
        <f t="shared" si="4"/>
        <v>0</v>
      </c>
      <c r="G74" s="32"/>
    </row>
    <row r="75" spans="1:12" s="27" customFormat="1" ht="17.25" hidden="1" customHeight="1" x14ac:dyDescent="0.2">
      <c r="A75" s="33" t="s">
        <v>317</v>
      </c>
      <c r="B75" s="34" t="s">
        <v>318</v>
      </c>
      <c r="C75" s="35">
        <f>C76</f>
        <v>0</v>
      </c>
      <c r="D75" s="35">
        <f t="shared" si="4"/>
        <v>0</v>
      </c>
      <c r="E75" s="35">
        <f t="shared" si="4"/>
        <v>0</v>
      </c>
      <c r="F75" s="36">
        <f t="shared" si="4"/>
        <v>0</v>
      </c>
      <c r="G75" s="32"/>
    </row>
    <row r="76" spans="1:12" ht="78.75" hidden="1" x14ac:dyDescent="0.2">
      <c r="A76" s="37" t="s">
        <v>319</v>
      </c>
      <c r="B76" s="38" t="s">
        <v>320</v>
      </c>
      <c r="C76" s="39">
        <f>D76+E76</f>
        <v>0</v>
      </c>
      <c r="D76" s="39">
        <v>0</v>
      </c>
      <c r="E76" s="48"/>
      <c r="F76" s="52"/>
      <c r="G76" s="42"/>
    </row>
    <row r="77" spans="1:12" ht="16.5" hidden="1" thickBot="1" x14ac:dyDescent="0.25">
      <c r="A77" s="44"/>
      <c r="B77" s="53" t="s">
        <v>321</v>
      </c>
      <c r="C77" s="54">
        <f>C11+C53+C70</f>
        <v>0</v>
      </c>
      <c r="D77" s="54">
        <f>D11+D53+D70</f>
        <v>0</v>
      </c>
      <c r="E77" s="54">
        <f>E11+E53+E70</f>
        <v>0</v>
      </c>
      <c r="F77" s="55">
        <f>F11+F53+F70</f>
        <v>0</v>
      </c>
      <c r="G77" s="42"/>
    </row>
    <row r="78" spans="1:12" s="61" customFormat="1" ht="14.25" customHeight="1" thickBot="1" x14ac:dyDescent="0.25">
      <c r="A78" s="56" t="s">
        <v>322</v>
      </c>
      <c r="B78" s="57" t="s">
        <v>323</v>
      </c>
      <c r="C78" s="58">
        <f>C79</f>
        <v>2789750</v>
      </c>
      <c r="D78" s="58">
        <f>D79</f>
        <v>2789750</v>
      </c>
      <c r="E78" s="58">
        <f>E79</f>
        <v>0</v>
      </c>
      <c r="F78" s="59"/>
      <c r="G78" s="60"/>
    </row>
    <row r="79" spans="1:12" s="61" customFormat="1" ht="18.75" customHeight="1" x14ac:dyDescent="0.2">
      <c r="A79" s="62" t="s">
        <v>324</v>
      </c>
      <c r="B79" s="63" t="s">
        <v>325</v>
      </c>
      <c r="C79" s="64">
        <f>C80+C86+C88</f>
        <v>2789750</v>
      </c>
      <c r="D79" s="64">
        <f>D80+D86+D88</f>
        <v>2789750</v>
      </c>
      <c r="E79" s="64">
        <f>E80+E86+E88</f>
        <v>0</v>
      </c>
      <c r="F79" s="65"/>
      <c r="G79" s="66"/>
    </row>
    <row r="80" spans="1:12" s="61" customFormat="1" ht="31.5" x14ac:dyDescent="0.2">
      <c r="A80" s="67" t="s">
        <v>326</v>
      </c>
      <c r="B80" s="68" t="s">
        <v>327</v>
      </c>
      <c r="C80" s="69">
        <f>C83+C84+C85+C81+C82</f>
        <v>895500</v>
      </c>
      <c r="D80" s="69">
        <f>D83+D84+D85+D81+D82</f>
        <v>895500</v>
      </c>
      <c r="E80" s="69">
        <f>E83+E84+E85+E81+E82</f>
        <v>0</v>
      </c>
      <c r="F80" s="70">
        <f>F83+F84+F85+F81+F82</f>
        <v>0</v>
      </c>
      <c r="G80" s="66"/>
    </row>
    <row r="81" spans="1:15" s="61" customFormat="1" ht="47.25" x14ac:dyDescent="0.2">
      <c r="A81" s="71">
        <v>41032700</v>
      </c>
      <c r="B81" s="72" t="s">
        <v>997</v>
      </c>
      <c r="C81" s="39">
        <f>D81+E81</f>
        <v>895500</v>
      </c>
      <c r="D81" s="644">
        <v>895500</v>
      </c>
      <c r="E81" s="69"/>
      <c r="F81" s="70"/>
      <c r="G81" s="66"/>
    </row>
    <row r="82" spans="1:15" s="61" customFormat="1" ht="47.25" hidden="1" x14ac:dyDescent="0.2">
      <c r="A82" s="71">
        <v>41033700</v>
      </c>
      <c r="B82" s="72" t="s">
        <v>328</v>
      </c>
      <c r="C82" s="39">
        <f t="shared" ref="C82:C97" si="5">D82+E82</f>
        <v>0</v>
      </c>
      <c r="D82" s="73"/>
      <c r="E82" s="69"/>
      <c r="F82" s="70"/>
      <c r="G82" s="66"/>
    </row>
    <row r="83" spans="1:15" s="76" customFormat="1" ht="14.25" hidden="1" customHeight="1" x14ac:dyDescent="0.2">
      <c r="A83" s="71" t="s">
        <v>329</v>
      </c>
      <c r="B83" s="72" t="s">
        <v>330</v>
      </c>
      <c r="C83" s="39">
        <f t="shared" si="5"/>
        <v>0</v>
      </c>
      <c r="D83" s="73"/>
      <c r="E83" s="73">
        <v>0</v>
      </c>
      <c r="F83" s="74"/>
      <c r="G83" s="75"/>
    </row>
    <row r="84" spans="1:15" s="76" customFormat="1" ht="31.5" hidden="1" x14ac:dyDescent="0.2">
      <c r="A84" s="71" t="s">
        <v>331</v>
      </c>
      <c r="B84" s="72" t="s">
        <v>332</v>
      </c>
      <c r="C84" s="39">
        <f t="shared" si="5"/>
        <v>0</v>
      </c>
      <c r="D84" s="644"/>
      <c r="E84" s="73">
        <v>0</v>
      </c>
      <c r="F84" s="74"/>
      <c r="G84" s="77"/>
    </row>
    <row r="85" spans="1:15" s="76" customFormat="1" ht="72.599999999999994" hidden="1" customHeight="1" x14ac:dyDescent="0.2">
      <c r="A85" s="71">
        <v>41035500</v>
      </c>
      <c r="B85" s="72" t="s">
        <v>799</v>
      </c>
      <c r="C85" s="39">
        <f t="shared" si="5"/>
        <v>0</v>
      </c>
      <c r="D85" s="644"/>
      <c r="E85" s="73"/>
      <c r="F85" s="74"/>
      <c r="G85" s="77"/>
    </row>
    <row r="86" spans="1:15" s="61" customFormat="1" ht="23.85" hidden="1" customHeight="1" x14ac:dyDescent="0.2">
      <c r="A86" s="67">
        <v>41040000</v>
      </c>
      <c r="B86" s="68" t="s">
        <v>333</v>
      </c>
      <c r="C86" s="69">
        <f>C87</f>
        <v>0</v>
      </c>
      <c r="D86" s="69">
        <f>D87</f>
        <v>0</v>
      </c>
      <c r="E86" s="69">
        <f>E87</f>
        <v>0</v>
      </c>
      <c r="F86" s="70"/>
      <c r="G86" s="66"/>
    </row>
    <row r="87" spans="1:15" s="76" customFormat="1" ht="63" hidden="1" x14ac:dyDescent="0.2">
      <c r="A87" s="71">
        <v>41040200</v>
      </c>
      <c r="B87" s="72" t="s">
        <v>334</v>
      </c>
      <c r="C87" s="39">
        <f t="shared" si="5"/>
        <v>0</v>
      </c>
      <c r="D87" s="78"/>
      <c r="E87" s="73">
        <v>0</v>
      </c>
      <c r="F87" s="74"/>
      <c r="G87" s="77"/>
      <c r="O87" s="79" t="s">
        <v>335</v>
      </c>
    </row>
    <row r="88" spans="1:15" s="61" customFormat="1" ht="31.5" x14ac:dyDescent="0.2">
      <c r="A88" s="498">
        <v>41050000</v>
      </c>
      <c r="B88" s="68" t="s">
        <v>336</v>
      </c>
      <c r="C88" s="69">
        <f t="shared" ref="C88" si="6">C97+C90+C92+C95+C93+C96+C89</f>
        <v>1894250</v>
      </c>
      <c r="D88" s="69">
        <f>D97+D90+D92+D95+D93+D96+D89</f>
        <v>1894250</v>
      </c>
      <c r="E88" s="69">
        <f t="shared" ref="E88:F88" si="7">E97+E90+E92+E95+E93+E96+E89</f>
        <v>0</v>
      </c>
      <c r="F88" s="69">
        <f t="shared" si="7"/>
        <v>0</v>
      </c>
      <c r="G88" s="66"/>
      <c r="O88" s="80"/>
    </row>
    <row r="89" spans="1:15" s="61" customFormat="1" ht="94.5" x14ac:dyDescent="0.2">
      <c r="A89" s="499">
        <v>41050900</v>
      </c>
      <c r="B89" s="72" t="s">
        <v>1059</v>
      </c>
      <c r="C89" s="39">
        <f t="shared" si="5"/>
        <v>1799250</v>
      </c>
      <c r="D89" s="73">
        <v>1799250</v>
      </c>
      <c r="E89" s="69"/>
      <c r="F89" s="70"/>
      <c r="G89" s="66"/>
      <c r="O89" s="80"/>
    </row>
    <row r="90" spans="1:15" s="61" customFormat="1" ht="47.25" hidden="1" x14ac:dyDescent="0.2">
      <c r="A90" s="499">
        <v>41051000</v>
      </c>
      <c r="B90" s="72" t="s">
        <v>337</v>
      </c>
      <c r="C90" s="39">
        <f t="shared" si="5"/>
        <v>0</v>
      </c>
      <c r="D90" s="73"/>
      <c r="E90" s="69"/>
      <c r="F90" s="70"/>
      <c r="G90" s="66"/>
      <c r="O90" s="79"/>
    </row>
    <row r="91" spans="1:15" s="61" customFormat="1" ht="47.25" hidden="1" x14ac:dyDescent="0.25">
      <c r="A91" s="776">
        <v>41051100</v>
      </c>
      <c r="B91" s="81" t="s">
        <v>338</v>
      </c>
      <c r="C91" s="39">
        <f t="shared" si="5"/>
        <v>0</v>
      </c>
      <c r="D91" s="73"/>
      <c r="E91" s="69"/>
      <c r="F91" s="70"/>
      <c r="G91" s="66"/>
      <c r="O91" s="79"/>
    </row>
    <row r="92" spans="1:15" s="61" customFormat="1" ht="47.25" hidden="1" x14ac:dyDescent="0.2">
      <c r="A92" s="499">
        <v>41051200</v>
      </c>
      <c r="B92" s="72" t="s">
        <v>339</v>
      </c>
      <c r="C92" s="39">
        <f t="shared" si="5"/>
        <v>0</v>
      </c>
      <c r="D92" s="73"/>
      <c r="E92" s="69"/>
      <c r="F92" s="70"/>
      <c r="G92" s="66"/>
      <c r="O92" s="79"/>
    </row>
    <row r="93" spans="1:15" s="61" customFormat="1" ht="63" hidden="1" x14ac:dyDescent="0.25">
      <c r="A93" s="499">
        <v>41051400</v>
      </c>
      <c r="B93" s="81" t="s">
        <v>340</v>
      </c>
      <c r="C93" s="39">
        <f t="shared" si="5"/>
        <v>0</v>
      </c>
      <c r="D93" s="73"/>
      <c r="E93" s="69"/>
      <c r="F93" s="70"/>
      <c r="G93" s="66"/>
      <c r="O93" s="79"/>
    </row>
    <row r="94" spans="1:15" s="61" customFormat="1" ht="63" hidden="1" x14ac:dyDescent="0.25">
      <c r="A94" s="500">
        <v>41051700</v>
      </c>
      <c r="B94" s="81" t="s">
        <v>341</v>
      </c>
      <c r="C94" s="39">
        <f t="shared" si="5"/>
        <v>0</v>
      </c>
      <c r="D94" s="73"/>
      <c r="E94" s="69"/>
      <c r="F94" s="70"/>
      <c r="G94" s="66"/>
      <c r="O94" s="79"/>
    </row>
    <row r="95" spans="1:15" s="61" customFormat="1" ht="15.75" x14ac:dyDescent="0.2">
      <c r="A95" s="499">
        <v>41053900</v>
      </c>
      <c r="B95" s="72" t="s">
        <v>342</v>
      </c>
      <c r="C95" s="39">
        <f>D95+E95</f>
        <v>95000</v>
      </c>
      <c r="D95" s="73">
        <v>95000</v>
      </c>
      <c r="E95" s="70"/>
      <c r="F95" s="70"/>
      <c r="G95" s="66"/>
      <c r="O95" s="79"/>
    </row>
    <row r="96" spans="1:15" s="61" customFormat="1" ht="47.25" hidden="1" x14ac:dyDescent="0.2">
      <c r="A96" s="499">
        <v>41054900</v>
      </c>
      <c r="B96" s="72" t="s">
        <v>853</v>
      </c>
      <c r="C96" s="708">
        <f>D96+E96</f>
        <v>0</v>
      </c>
      <c r="D96" s="644"/>
      <c r="E96" s="706"/>
      <c r="F96" s="70"/>
      <c r="G96" s="66"/>
      <c r="O96" s="79"/>
    </row>
    <row r="97" spans="1:15" s="76" customFormat="1" ht="57" hidden="1" customHeight="1" x14ac:dyDescent="0.2">
      <c r="A97" s="71">
        <v>41055000</v>
      </c>
      <c r="B97" s="72" t="s">
        <v>343</v>
      </c>
      <c r="C97" s="39">
        <f t="shared" si="5"/>
        <v>0</v>
      </c>
      <c r="D97" s="73"/>
      <c r="E97" s="73">
        <v>0</v>
      </c>
      <c r="F97" s="74"/>
      <c r="G97" s="77"/>
      <c r="O97" s="79" t="s">
        <v>335</v>
      </c>
    </row>
    <row r="98" spans="1:15" s="27" customFormat="1" ht="1.5" customHeight="1" thickBot="1" x14ac:dyDescent="0.25">
      <c r="A98" s="82" t="s">
        <v>344</v>
      </c>
      <c r="B98" s="53"/>
      <c r="C98" s="54"/>
      <c r="D98" s="54"/>
      <c r="E98" s="54"/>
      <c r="F98" s="55"/>
      <c r="G98" s="32"/>
    </row>
    <row r="99" spans="1:15" s="27" customFormat="1" ht="17.25" customHeight="1" thickBot="1" x14ac:dyDescent="0.25">
      <c r="A99" s="83" t="s">
        <v>345</v>
      </c>
      <c r="B99" s="22" t="s">
        <v>346</v>
      </c>
      <c r="C99" s="23">
        <f>C77+C78</f>
        <v>2789750</v>
      </c>
      <c r="D99" s="23">
        <f>D77+D78</f>
        <v>2789750</v>
      </c>
      <c r="E99" s="23">
        <f>E77+E78</f>
        <v>0</v>
      </c>
      <c r="F99" s="24">
        <f>F77+F78</f>
        <v>0</v>
      </c>
      <c r="G99" s="32"/>
    </row>
    <row r="100" spans="1:15" x14ac:dyDescent="0.2">
      <c r="A100" s="42"/>
      <c r="B100" s="84"/>
      <c r="C100" s="42"/>
      <c r="D100" s="42"/>
      <c r="E100" s="42"/>
      <c r="F100" s="42"/>
      <c r="G100" s="42"/>
    </row>
    <row r="101" spans="1:15" s="86" customFormat="1" ht="15.75" customHeight="1" x14ac:dyDescent="0.2">
      <c r="A101" s="85"/>
      <c r="B101" s="792"/>
      <c r="C101" s="793"/>
      <c r="D101" s="793"/>
      <c r="E101" s="793"/>
      <c r="F101" s="793"/>
      <c r="G101" s="793"/>
      <c r="K101" s="87"/>
    </row>
    <row r="102" spans="1:15" ht="15.75" x14ac:dyDescent="0.25">
      <c r="A102" s="9"/>
      <c r="B102" s="512"/>
      <c r="C102" s="9"/>
      <c r="D102" s="9"/>
      <c r="E102" s="9"/>
      <c r="F102" s="9"/>
      <c r="G102" s="42"/>
      <c r="K102" s="88"/>
    </row>
    <row r="103" spans="1:15" ht="15.75" x14ac:dyDescent="0.25">
      <c r="A103" s="9"/>
      <c r="B103" s="512" t="s">
        <v>662</v>
      </c>
      <c r="C103" s="9"/>
      <c r="D103" s="9"/>
      <c r="E103" s="9" t="s">
        <v>663</v>
      </c>
      <c r="F103" s="9"/>
    </row>
  </sheetData>
  <mergeCells count="9">
    <mergeCell ref="C3:E3"/>
    <mergeCell ref="B101:G101"/>
    <mergeCell ref="A4:F4"/>
    <mergeCell ref="A5:F5"/>
    <mergeCell ref="A8:A9"/>
    <mergeCell ref="B8:B9"/>
    <mergeCell ref="C8:C9"/>
    <mergeCell ref="D8:D9"/>
    <mergeCell ref="E8:F8"/>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9"/>
  <sheetViews>
    <sheetView showZeros="0" topLeftCell="A42" zoomScale="96" zoomScaleNormal="96" workbookViewId="0">
      <selection activeCell="C31" sqref="C31:C46"/>
    </sheetView>
  </sheetViews>
  <sheetFormatPr defaultRowHeight="12.75" x14ac:dyDescent="0.2"/>
  <cols>
    <col min="1" max="1" width="11.5703125" style="99" customWidth="1"/>
    <col min="2" max="2" width="45.7109375" style="155" customWidth="1"/>
    <col min="3" max="3" width="21.140625" style="111" customWidth="1"/>
    <col min="4" max="4" width="18.85546875" style="99" customWidth="1"/>
    <col min="5" max="5" width="16.5703125" style="99" customWidth="1"/>
    <col min="6" max="6" width="17.140625" style="99" customWidth="1"/>
    <col min="7" max="7" width="14.42578125" style="99" hidden="1" customWidth="1"/>
    <col min="8" max="8" width="36.28515625" style="99" customWidth="1"/>
    <col min="9" max="256" width="8.85546875" style="99"/>
    <col min="257" max="257" width="11.5703125" style="99" customWidth="1"/>
    <col min="258" max="258" width="45.7109375" style="99" customWidth="1"/>
    <col min="259" max="259" width="15.5703125" style="99" customWidth="1"/>
    <col min="260" max="260" width="17.85546875" style="99" customWidth="1"/>
    <col min="261" max="261" width="16.5703125" style="99" customWidth="1"/>
    <col min="262" max="262" width="17.140625" style="99" customWidth="1"/>
    <col min="263" max="263" width="14.42578125" style="99" customWidth="1"/>
    <col min="264" max="264" width="36.28515625" style="99" customWidth="1"/>
    <col min="265" max="512" width="8.85546875" style="99"/>
    <col min="513" max="513" width="11.5703125" style="99" customWidth="1"/>
    <col min="514" max="514" width="45.7109375" style="99" customWidth="1"/>
    <col min="515" max="515" width="15.5703125" style="99" customWidth="1"/>
    <col min="516" max="516" width="17.85546875" style="99" customWidth="1"/>
    <col min="517" max="517" width="16.5703125" style="99" customWidth="1"/>
    <col min="518" max="518" width="17.140625" style="99" customWidth="1"/>
    <col min="519" max="519" width="14.42578125" style="99" customWidth="1"/>
    <col min="520" max="520" width="36.28515625" style="99" customWidth="1"/>
    <col min="521" max="768" width="8.85546875" style="99"/>
    <col min="769" max="769" width="11.5703125" style="99" customWidth="1"/>
    <col min="770" max="770" width="45.7109375" style="99" customWidth="1"/>
    <col min="771" max="771" width="15.5703125" style="99" customWidth="1"/>
    <col min="772" max="772" width="17.85546875" style="99" customWidth="1"/>
    <col min="773" max="773" width="16.5703125" style="99" customWidth="1"/>
    <col min="774" max="774" width="17.140625" style="99" customWidth="1"/>
    <col min="775" max="775" width="14.42578125" style="99" customWidth="1"/>
    <col min="776" max="776" width="36.28515625" style="99" customWidth="1"/>
    <col min="777" max="1024" width="8.85546875" style="99"/>
    <col min="1025" max="1025" width="11.5703125" style="99" customWidth="1"/>
    <col min="1026" max="1026" width="45.7109375" style="99" customWidth="1"/>
    <col min="1027" max="1027" width="15.5703125" style="99" customWidth="1"/>
    <col min="1028" max="1028" width="17.85546875" style="99" customWidth="1"/>
    <col min="1029" max="1029" width="16.5703125" style="99" customWidth="1"/>
    <col min="1030" max="1030" width="17.140625" style="99" customWidth="1"/>
    <col min="1031" max="1031" width="14.42578125" style="99" customWidth="1"/>
    <col min="1032" max="1032" width="36.28515625" style="99" customWidth="1"/>
    <col min="1033" max="1280" width="8.85546875" style="99"/>
    <col min="1281" max="1281" width="11.5703125" style="99" customWidth="1"/>
    <col min="1282" max="1282" width="45.7109375" style="99" customWidth="1"/>
    <col min="1283" max="1283" width="15.5703125" style="99" customWidth="1"/>
    <col min="1284" max="1284" width="17.85546875" style="99" customWidth="1"/>
    <col min="1285" max="1285" width="16.5703125" style="99" customWidth="1"/>
    <col min="1286" max="1286" width="17.140625" style="99" customWidth="1"/>
    <col min="1287" max="1287" width="14.42578125" style="99" customWidth="1"/>
    <col min="1288" max="1288" width="36.28515625" style="99" customWidth="1"/>
    <col min="1289" max="1536" width="8.85546875" style="99"/>
    <col min="1537" max="1537" width="11.5703125" style="99" customWidth="1"/>
    <col min="1538" max="1538" width="45.7109375" style="99" customWidth="1"/>
    <col min="1539" max="1539" width="15.5703125" style="99" customWidth="1"/>
    <col min="1540" max="1540" width="17.85546875" style="99" customWidth="1"/>
    <col min="1541" max="1541" width="16.5703125" style="99" customWidth="1"/>
    <col min="1542" max="1542" width="17.140625" style="99" customWidth="1"/>
    <col min="1543" max="1543" width="14.42578125" style="99" customWidth="1"/>
    <col min="1544" max="1544" width="36.28515625" style="99" customWidth="1"/>
    <col min="1545" max="1792" width="8.85546875" style="99"/>
    <col min="1793" max="1793" width="11.5703125" style="99" customWidth="1"/>
    <col min="1794" max="1794" width="45.7109375" style="99" customWidth="1"/>
    <col min="1795" max="1795" width="15.5703125" style="99" customWidth="1"/>
    <col min="1796" max="1796" width="17.85546875" style="99" customWidth="1"/>
    <col min="1797" max="1797" width="16.5703125" style="99" customWidth="1"/>
    <col min="1798" max="1798" width="17.140625" style="99" customWidth="1"/>
    <col min="1799" max="1799" width="14.42578125" style="99" customWidth="1"/>
    <col min="1800" max="1800" width="36.28515625" style="99" customWidth="1"/>
    <col min="1801" max="2048" width="8.85546875" style="99"/>
    <col min="2049" max="2049" width="11.5703125" style="99" customWidth="1"/>
    <col min="2050" max="2050" width="45.7109375" style="99" customWidth="1"/>
    <col min="2051" max="2051" width="15.5703125" style="99" customWidth="1"/>
    <col min="2052" max="2052" width="17.85546875" style="99" customWidth="1"/>
    <col min="2053" max="2053" width="16.5703125" style="99" customWidth="1"/>
    <col min="2054" max="2054" width="17.140625" style="99" customWidth="1"/>
    <col min="2055" max="2055" width="14.42578125" style="99" customWidth="1"/>
    <col min="2056" max="2056" width="36.28515625" style="99" customWidth="1"/>
    <col min="2057" max="2304" width="8.85546875" style="99"/>
    <col min="2305" max="2305" width="11.5703125" style="99" customWidth="1"/>
    <col min="2306" max="2306" width="45.7109375" style="99" customWidth="1"/>
    <col min="2307" max="2307" width="15.5703125" style="99" customWidth="1"/>
    <col min="2308" max="2308" width="17.85546875" style="99" customWidth="1"/>
    <col min="2309" max="2309" width="16.5703125" style="99" customWidth="1"/>
    <col min="2310" max="2310" width="17.140625" style="99" customWidth="1"/>
    <col min="2311" max="2311" width="14.42578125" style="99" customWidth="1"/>
    <col min="2312" max="2312" width="36.28515625" style="99" customWidth="1"/>
    <col min="2313" max="2560" width="8.85546875" style="99"/>
    <col min="2561" max="2561" width="11.5703125" style="99" customWidth="1"/>
    <col min="2562" max="2562" width="45.7109375" style="99" customWidth="1"/>
    <col min="2563" max="2563" width="15.5703125" style="99" customWidth="1"/>
    <col min="2564" max="2564" width="17.85546875" style="99" customWidth="1"/>
    <col min="2565" max="2565" width="16.5703125" style="99" customWidth="1"/>
    <col min="2566" max="2566" width="17.140625" style="99" customWidth="1"/>
    <col min="2567" max="2567" width="14.42578125" style="99" customWidth="1"/>
    <col min="2568" max="2568" width="36.28515625" style="99" customWidth="1"/>
    <col min="2569" max="2816" width="8.85546875" style="99"/>
    <col min="2817" max="2817" width="11.5703125" style="99" customWidth="1"/>
    <col min="2818" max="2818" width="45.7109375" style="99" customWidth="1"/>
    <col min="2819" max="2819" width="15.5703125" style="99" customWidth="1"/>
    <col min="2820" max="2820" width="17.85546875" style="99" customWidth="1"/>
    <col min="2821" max="2821" width="16.5703125" style="99" customWidth="1"/>
    <col min="2822" max="2822" width="17.140625" style="99" customWidth="1"/>
    <col min="2823" max="2823" width="14.42578125" style="99" customWidth="1"/>
    <col min="2824" max="2824" width="36.28515625" style="99" customWidth="1"/>
    <col min="2825" max="3072" width="8.85546875" style="99"/>
    <col min="3073" max="3073" width="11.5703125" style="99" customWidth="1"/>
    <col min="3074" max="3074" width="45.7109375" style="99" customWidth="1"/>
    <col min="3075" max="3075" width="15.5703125" style="99" customWidth="1"/>
    <col min="3076" max="3076" width="17.85546875" style="99" customWidth="1"/>
    <col min="3077" max="3077" width="16.5703125" style="99" customWidth="1"/>
    <col min="3078" max="3078" width="17.140625" style="99" customWidth="1"/>
    <col min="3079" max="3079" width="14.42578125" style="99" customWidth="1"/>
    <col min="3080" max="3080" width="36.28515625" style="99" customWidth="1"/>
    <col min="3081" max="3328" width="8.85546875" style="99"/>
    <col min="3329" max="3329" width="11.5703125" style="99" customWidth="1"/>
    <col min="3330" max="3330" width="45.7109375" style="99" customWidth="1"/>
    <col min="3331" max="3331" width="15.5703125" style="99" customWidth="1"/>
    <col min="3332" max="3332" width="17.85546875" style="99" customWidth="1"/>
    <col min="3333" max="3333" width="16.5703125" style="99" customWidth="1"/>
    <col min="3334" max="3334" width="17.140625" style="99" customWidth="1"/>
    <col min="3335" max="3335" width="14.42578125" style="99" customWidth="1"/>
    <col min="3336" max="3336" width="36.28515625" style="99" customWidth="1"/>
    <col min="3337" max="3584" width="8.85546875" style="99"/>
    <col min="3585" max="3585" width="11.5703125" style="99" customWidth="1"/>
    <col min="3586" max="3586" width="45.7109375" style="99" customWidth="1"/>
    <col min="3587" max="3587" width="15.5703125" style="99" customWidth="1"/>
    <col min="3588" max="3588" width="17.85546875" style="99" customWidth="1"/>
    <col min="3589" max="3589" width="16.5703125" style="99" customWidth="1"/>
    <col min="3590" max="3590" width="17.140625" style="99" customWidth="1"/>
    <col min="3591" max="3591" width="14.42578125" style="99" customWidth="1"/>
    <col min="3592" max="3592" width="36.28515625" style="99" customWidth="1"/>
    <col min="3593" max="3840" width="8.85546875" style="99"/>
    <col min="3841" max="3841" width="11.5703125" style="99" customWidth="1"/>
    <col min="3842" max="3842" width="45.7109375" style="99" customWidth="1"/>
    <col min="3843" max="3843" width="15.5703125" style="99" customWidth="1"/>
    <col min="3844" max="3844" width="17.85546875" style="99" customWidth="1"/>
    <col min="3845" max="3845" width="16.5703125" style="99" customWidth="1"/>
    <col min="3846" max="3846" width="17.140625" style="99" customWidth="1"/>
    <col min="3847" max="3847" width="14.42578125" style="99" customWidth="1"/>
    <col min="3848" max="3848" width="36.28515625" style="99" customWidth="1"/>
    <col min="3849" max="4096" width="8.85546875" style="99"/>
    <col min="4097" max="4097" width="11.5703125" style="99" customWidth="1"/>
    <col min="4098" max="4098" width="45.7109375" style="99" customWidth="1"/>
    <col min="4099" max="4099" width="15.5703125" style="99" customWidth="1"/>
    <col min="4100" max="4100" width="17.85546875" style="99" customWidth="1"/>
    <col min="4101" max="4101" width="16.5703125" style="99" customWidth="1"/>
    <col min="4102" max="4102" width="17.140625" style="99" customWidth="1"/>
    <col min="4103" max="4103" width="14.42578125" style="99" customWidth="1"/>
    <col min="4104" max="4104" width="36.28515625" style="99" customWidth="1"/>
    <col min="4105" max="4352" width="8.85546875" style="99"/>
    <col min="4353" max="4353" width="11.5703125" style="99" customWidth="1"/>
    <col min="4354" max="4354" width="45.7109375" style="99" customWidth="1"/>
    <col min="4355" max="4355" width="15.5703125" style="99" customWidth="1"/>
    <col min="4356" max="4356" width="17.85546875" style="99" customWidth="1"/>
    <col min="4357" max="4357" width="16.5703125" style="99" customWidth="1"/>
    <col min="4358" max="4358" width="17.140625" style="99" customWidth="1"/>
    <col min="4359" max="4359" width="14.42578125" style="99" customWidth="1"/>
    <col min="4360" max="4360" width="36.28515625" style="99" customWidth="1"/>
    <col min="4361" max="4608" width="8.85546875" style="99"/>
    <col min="4609" max="4609" width="11.5703125" style="99" customWidth="1"/>
    <col min="4610" max="4610" width="45.7109375" style="99" customWidth="1"/>
    <col min="4611" max="4611" width="15.5703125" style="99" customWidth="1"/>
    <col min="4612" max="4612" width="17.85546875" style="99" customWidth="1"/>
    <col min="4613" max="4613" width="16.5703125" style="99" customWidth="1"/>
    <col min="4614" max="4614" width="17.140625" style="99" customWidth="1"/>
    <col min="4615" max="4615" width="14.42578125" style="99" customWidth="1"/>
    <col min="4616" max="4616" width="36.28515625" style="99" customWidth="1"/>
    <col min="4617" max="4864" width="8.85546875" style="99"/>
    <col min="4865" max="4865" width="11.5703125" style="99" customWidth="1"/>
    <col min="4866" max="4866" width="45.7109375" style="99" customWidth="1"/>
    <col min="4867" max="4867" width="15.5703125" style="99" customWidth="1"/>
    <col min="4868" max="4868" width="17.85546875" style="99" customWidth="1"/>
    <col min="4869" max="4869" width="16.5703125" style="99" customWidth="1"/>
    <col min="4870" max="4870" width="17.140625" style="99" customWidth="1"/>
    <col min="4871" max="4871" width="14.42578125" style="99" customWidth="1"/>
    <col min="4872" max="4872" width="36.28515625" style="99" customWidth="1"/>
    <col min="4873" max="5120" width="8.85546875" style="99"/>
    <col min="5121" max="5121" width="11.5703125" style="99" customWidth="1"/>
    <col min="5122" max="5122" width="45.7109375" style="99" customWidth="1"/>
    <col min="5123" max="5123" width="15.5703125" style="99" customWidth="1"/>
    <col min="5124" max="5124" width="17.85546875" style="99" customWidth="1"/>
    <col min="5125" max="5125" width="16.5703125" style="99" customWidth="1"/>
    <col min="5126" max="5126" width="17.140625" style="99" customWidth="1"/>
    <col min="5127" max="5127" width="14.42578125" style="99" customWidth="1"/>
    <col min="5128" max="5128" width="36.28515625" style="99" customWidth="1"/>
    <col min="5129" max="5376" width="8.85546875" style="99"/>
    <col min="5377" max="5377" width="11.5703125" style="99" customWidth="1"/>
    <col min="5378" max="5378" width="45.7109375" style="99" customWidth="1"/>
    <col min="5379" max="5379" width="15.5703125" style="99" customWidth="1"/>
    <col min="5380" max="5380" width="17.85546875" style="99" customWidth="1"/>
    <col min="5381" max="5381" width="16.5703125" style="99" customWidth="1"/>
    <col min="5382" max="5382" width="17.140625" style="99" customWidth="1"/>
    <col min="5383" max="5383" width="14.42578125" style="99" customWidth="1"/>
    <col min="5384" max="5384" width="36.28515625" style="99" customWidth="1"/>
    <col min="5385" max="5632" width="8.85546875" style="99"/>
    <col min="5633" max="5633" width="11.5703125" style="99" customWidth="1"/>
    <col min="5634" max="5634" width="45.7109375" style="99" customWidth="1"/>
    <col min="5635" max="5635" width="15.5703125" style="99" customWidth="1"/>
    <col min="5636" max="5636" width="17.85546875" style="99" customWidth="1"/>
    <col min="5637" max="5637" width="16.5703125" style="99" customWidth="1"/>
    <col min="5638" max="5638" width="17.140625" style="99" customWidth="1"/>
    <col min="5639" max="5639" width="14.42578125" style="99" customWidth="1"/>
    <col min="5640" max="5640" width="36.28515625" style="99" customWidth="1"/>
    <col min="5641" max="5888" width="8.85546875" style="99"/>
    <col min="5889" max="5889" width="11.5703125" style="99" customWidth="1"/>
    <col min="5890" max="5890" width="45.7109375" style="99" customWidth="1"/>
    <col min="5891" max="5891" width="15.5703125" style="99" customWidth="1"/>
    <col min="5892" max="5892" width="17.85546875" style="99" customWidth="1"/>
    <col min="5893" max="5893" width="16.5703125" style="99" customWidth="1"/>
    <col min="5894" max="5894" width="17.140625" style="99" customWidth="1"/>
    <col min="5895" max="5895" width="14.42578125" style="99" customWidth="1"/>
    <col min="5896" max="5896" width="36.28515625" style="99" customWidth="1"/>
    <col min="5897" max="6144" width="8.85546875" style="99"/>
    <col min="6145" max="6145" width="11.5703125" style="99" customWidth="1"/>
    <col min="6146" max="6146" width="45.7109375" style="99" customWidth="1"/>
    <col min="6147" max="6147" width="15.5703125" style="99" customWidth="1"/>
    <col min="6148" max="6148" width="17.85546875" style="99" customWidth="1"/>
    <col min="6149" max="6149" width="16.5703125" style="99" customWidth="1"/>
    <col min="6150" max="6150" width="17.140625" style="99" customWidth="1"/>
    <col min="6151" max="6151" width="14.42578125" style="99" customWidth="1"/>
    <col min="6152" max="6152" width="36.28515625" style="99" customWidth="1"/>
    <col min="6153" max="6400" width="8.85546875" style="99"/>
    <col min="6401" max="6401" width="11.5703125" style="99" customWidth="1"/>
    <col min="6402" max="6402" width="45.7109375" style="99" customWidth="1"/>
    <col min="6403" max="6403" width="15.5703125" style="99" customWidth="1"/>
    <col min="6404" max="6404" width="17.85546875" style="99" customWidth="1"/>
    <col min="6405" max="6405" width="16.5703125" style="99" customWidth="1"/>
    <col min="6406" max="6406" width="17.140625" style="99" customWidth="1"/>
    <col min="6407" max="6407" width="14.42578125" style="99" customWidth="1"/>
    <col min="6408" max="6408" width="36.28515625" style="99" customWidth="1"/>
    <col min="6409" max="6656" width="8.85546875" style="99"/>
    <col min="6657" max="6657" width="11.5703125" style="99" customWidth="1"/>
    <col min="6658" max="6658" width="45.7109375" style="99" customWidth="1"/>
    <col min="6659" max="6659" width="15.5703125" style="99" customWidth="1"/>
    <col min="6660" max="6660" width="17.85546875" style="99" customWidth="1"/>
    <col min="6661" max="6661" width="16.5703125" style="99" customWidth="1"/>
    <col min="6662" max="6662" width="17.140625" style="99" customWidth="1"/>
    <col min="6663" max="6663" width="14.42578125" style="99" customWidth="1"/>
    <col min="6664" max="6664" width="36.28515625" style="99" customWidth="1"/>
    <col min="6665" max="6912" width="8.85546875" style="99"/>
    <col min="6913" max="6913" width="11.5703125" style="99" customWidth="1"/>
    <col min="6914" max="6914" width="45.7109375" style="99" customWidth="1"/>
    <col min="6915" max="6915" width="15.5703125" style="99" customWidth="1"/>
    <col min="6916" max="6916" width="17.85546875" style="99" customWidth="1"/>
    <col min="6917" max="6917" width="16.5703125" style="99" customWidth="1"/>
    <col min="6918" max="6918" width="17.140625" style="99" customWidth="1"/>
    <col min="6919" max="6919" width="14.42578125" style="99" customWidth="1"/>
    <col min="6920" max="6920" width="36.28515625" style="99" customWidth="1"/>
    <col min="6921" max="7168" width="8.85546875" style="99"/>
    <col min="7169" max="7169" width="11.5703125" style="99" customWidth="1"/>
    <col min="7170" max="7170" width="45.7109375" style="99" customWidth="1"/>
    <col min="7171" max="7171" width="15.5703125" style="99" customWidth="1"/>
    <col min="7172" max="7172" width="17.85546875" style="99" customWidth="1"/>
    <col min="7173" max="7173" width="16.5703125" style="99" customWidth="1"/>
    <col min="7174" max="7174" width="17.140625" style="99" customWidth="1"/>
    <col min="7175" max="7175" width="14.42578125" style="99" customWidth="1"/>
    <col min="7176" max="7176" width="36.28515625" style="99" customWidth="1"/>
    <col min="7177" max="7424" width="8.85546875" style="99"/>
    <col min="7425" max="7425" width="11.5703125" style="99" customWidth="1"/>
    <col min="7426" max="7426" width="45.7109375" style="99" customWidth="1"/>
    <col min="7427" max="7427" width="15.5703125" style="99" customWidth="1"/>
    <col min="7428" max="7428" width="17.85546875" style="99" customWidth="1"/>
    <col min="7429" max="7429" width="16.5703125" style="99" customWidth="1"/>
    <col min="7430" max="7430" width="17.140625" style="99" customWidth="1"/>
    <col min="7431" max="7431" width="14.42578125" style="99" customWidth="1"/>
    <col min="7432" max="7432" width="36.28515625" style="99" customWidth="1"/>
    <col min="7433" max="7680" width="8.85546875" style="99"/>
    <col min="7681" max="7681" width="11.5703125" style="99" customWidth="1"/>
    <col min="7682" max="7682" width="45.7109375" style="99" customWidth="1"/>
    <col min="7683" max="7683" width="15.5703125" style="99" customWidth="1"/>
    <col min="7684" max="7684" width="17.85546875" style="99" customWidth="1"/>
    <col min="7685" max="7685" width="16.5703125" style="99" customWidth="1"/>
    <col min="7686" max="7686" width="17.140625" style="99" customWidth="1"/>
    <col min="7687" max="7687" width="14.42578125" style="99" customWidth="1"/>
    <col min="7688" max="7688" width="36.28515625" style="99" customWidth="1"/>
    <col min="7689" max="7936" width="8.85546875" style="99"/>
    <col min="7937" max="7937" width="11.5703125" style="99" customWidth="1"/>
    <col min="7938" max="7938" width="45.7109375" style="99" customWidth="1"/>
    <col min="7939" max="7939" width="15.5703125" style="99" customWidth="1"/>
    <col min="7940" max="7940" width="17.85546875" style="99" customWidth="1"/>
    <col min="7941" max="7941" width="16.5703125" style="99" customWidth="1"/>
    <col min="7942" max="7942" width="17.140625" style="99" customWidth="1"/>
    <col min="7943" max="7943" width="14.42578125" style="99" customWidth="1"/>
    <col min="7944" max="7944" width="36.28515625" style="99" customWidth="1"/>
    <col min="7945" max="8192" width="8.85546875" style="99"/>
    <col min="8193" max="8193" width="11.5703125" style="99" customWidth="1"/>
    <col min="8194" max="8194" width="45.7109375" style="99" customWidth="1"/>
    <col min="8195" max="8195" width="15.5703125" style="99" customWidth="1"/>
    <col min="8196" max="8196" width="17.85546875" style="99" customWidth="1"/>
    <col min="8197" max="8197" width="16.5703125" style="99" customWidth="1"/>
    <col min="8198" max="8198" width="17.140625" style="99" customWidth="1"/>
    <col min="8199" max="8199" width="14.42578125" style="99" customWidth="1"/>
    <col min="8200" max="8200" width="36.28515625" style="99" customWidth="1"/>
    <col min="8201" max="8448" width="8.85546875" style="99"/>
    <col min="8449" max="8449" width="11.5703125" style="99" customWidth="1"/>
    <col min="8450" max="8450" width="45.7109375" style="99" customWidth="1"/>
    <col min="8451" max="8451" width="15.5703125" style="99" customWidth="1"/>
    <col min="8452" max="8452" width="17.85546875" style="99" customWidth="1"/>
    <col min="8453" max="8453" width="16.5703125" style="99" customWidth="1"/>
    <col min="8454" max="8454" width="17.140625" style="99" customWidth="1"/>
    <col min="8455" max="8455" width="14.42578125" style="99" customWidth="1"/>
    <col min="8456" max="8456" width="36.28515625" style="99" customWidth="1"/>
    <col min="8457" max="8704" width="8.85546875" style="99"/>
    <col min="8705" max="8705" width="11.5703125" style="99" customWidth="1"/>
    <col min="8706" max="8706" width="45.7109375" style="99" customWidth="1"/>
    <col min="8707" max="8707" width="15.5703125" style="99" customWidth="1"/>
    <col min="8708" max="8708" width="17.85546875" style="99" customWidth="1"/>
    <col min="8709" max="8709" width="16.5703125" style="99" customWidth="1"/>
    <col min="8710" max="8710" width="17.140625" style="99" customWidth="1"/>
    <col min="8711" max="8711" width="14.42578125" style="99" customWidth="1"/>
    <col min="8712" max="8712" width="36.28515625" style="99" customWidth="1"/>
    <col min="8713" max="8960" width="8.85546875" style="99"/>
    <col min="8961" max="8961" width="11.5703125" style="99" customWidth="1"/>
    <col min="8962" max="8962" width="45.7109375" style="99" customWidth="1"/>
    <col min="8963" max="8963" width="15.5703125" style="99" customWidth="1"/>
    <col min="8964" max="8964" width="17.85546875" style="99" customWidth="1"/>
    <col min="8965" max="8965" width="16.5703125" style="99" customWidth="1"/>
    <col min="8966" max="8966" width="17.140625" style="99" customWidth="1"/>
    <col min="8967" max="8967" width="14.42578125" style="99" customWidth="1"/>
    <col min="8968" max="8968" width="36.28515625" style="99" customWidth="1"/>
    <col min="8969" max="9216" width="8.85546875" style="99"/>
    <col min="9217" max="9217" width="11.5703125" style="99" customWidth="1"/>
    <col min="9218" max="9218" width="45.7109375" style="99" customWidth="1"/>
    <col min="9219" max="9219" width="15.5703125" style="99" customWidth="1"/>
    <col min="9220" max="9220" width="17.85546875" style="99" customWidth="1"/>
    <col min="9221" max="9221" width="16.5703125" style="99" customWidth="1"/>
    <col min="9222" max="9222" width="17.140625" style="99" customWidth="1"/>
    <col min="9223" max="9223" width="14.42578125" style="99" customWidth="1"/>
    <col min="9224" max="9224" width="36.28515625" style="99" customWidth="1"/>
    <col min="9225" max="9472" width="8.85546875" style="99"/>
    <col min="9473" max="9473" width="11.5703125" style="99" customWidth="1"/>
    <col min="9474" max="9474" width="45.7109375" style="99" customWidth="1"/>
    <col min="9475" max="9475" width="15.5703125" style="99" customWidth="1"/>
    <col min="9476" max="9476" width="17.85546875" style="99" customWidth="1"/>
    <col min="9477" max="9477" width="16.5703125" style="99" customWidth="1"/>
    <col min="9478" max="9478" width="17.140625" style="99" customWidth="1"/>
    <col min="9479" max="9479" width="14.42578125" style="99" customWidth="1"/>
    <col min="9480" max="9480" width="36.28515625" style="99" customWidth="1"/>
    <col min="9481" max="9728" width="8.85546875" style="99"/>
    <col min="9729" max="9729" width="11.5703125" style="99" customWidth="1"/>
    <col min="9730" max="9730" width="45.7109375" style="99" customWidth="1"/>
    <col min="9731" max="9731" width="15.5703125" style="99" customWidth="1"/>
    <col min="9732" max="9732" width="17.85546875" style="99" customWidth="1"/>
    <col min="9733" max="9733" width="16.5703125" style="99" customWidth="1"/>
    <col min="9734" max="9734" width="17.140625" style="99" customWidth="1"/>
    <col min="9735" max="9735" width="14.42578125" style="99" customWidth="1"/>
    <col min="9736" max="9736" width="36.28515625" style="99" customWidth="1"/>
    <col min="9737" max="9984" width="8.85546875" style="99"/>
    <col min="9985" max="9985" width="11.5703125" style="99" customWidth="1"/>
    <col min="9986" max="9986" width="45.7109375" style="99" customWidth="1"/>
    <col min="9987" max="9987" width="15.5703125" style="99" customWidth="1"/>
    <col min="9988" max="9988" width="17.85546875" style="99" customWidth="1"/>
    <col min="9989" max="9989" width="16.5703125" style="99" customWidth="1"/>
    <col min="9990" max="9990" width="17.140625" style="99" customWidth="1"/>
    <col min="9991" max="9991" width="14.42578125" style="99" customWidth="1"/>
    <col min="9992" max="9992" width="36.28515625" style="99" customWidth="1"/>
    <col min="9993" max="10240" width="8.85546875" style="99"/>
    <col min="10241" max="10241" width="11.5703125" style="99" customWidth="1"/>
    <col min="10242" max="10242" width="45.7109375" style="99" customWidth="1"/>
    <col min="10243" max="10243" width="15.5703125" style="99" customWidth="1"/>
    <col min="10244" max="10244" width="17.85546875" style="99" customWidth="1"/>
    <col min="10245" max="10245" width="16.5703125" style="99" customWidth="1"/>
    <col min="10246" max="10246" width="17.140625" style="99" customWidth="1"/>
    <col min="10247" max="10247" width="14.42578125" style="99" customWidth="1"/>
    <col min="10248" max="10248" width="36.28515625" style="99" customWidth="1"/>
    <col min="10249" max="10496" width="8.85546875" style="99"/>
    <col min="10497" max="10497" width="11.5703125" style="99" customWidth="1"/>
    <col min="10498" max="10498" width="45.7109375" style="99" customWidth="1"/>
    <col min="10499" max="10499" width="15.5703125" style="99" customWidth="1"/>
    <col min="10500" max="10500" width="17.85546875" style="99" customWidth="1"/>
    <col min="10501" max="10501" width="16.5703125" style="99" customWidth="1"/>
    <col min="10502" max="10502" width="17.140625" style="99" customWidth="1"/>
    <col min="10503" max="10503" width="14.42578125" style="99" customWidth="1"/>
    <col min="10504" max="10504" width="36.28515625" style="99" customWidth="1"/>
    <col min="10505" max="10752" width="8.85546875" style="99"/>
    <col min="10753" max="10753" width="11.5703125" style="99" customWidth="1"/>
    <col min="10754" max="10754" width="45.7109375" style="99" customWidth="1"/>
    <col min="10755" max="10755" width="15.5703125" style="99" customWidth="1"/>
    <col min="10756" max="10756" width="17.85546875" style="99" customWidth="1"/>
    <col min="10757" max="10757" width="16.5703125" style="99" customWidth="1"/>
    <col min="10758" max="10758" width="17.140625" style="99" customWidth="1"/>
    <col min="10759" max="10759" width="14.42578125" style="99" customWidth="1"/>
    <col min="10760" max="10760" width="36.28515625" style="99" customWidth="1"/>
    <col min="10761" max="11008" width="8.85546875" style="99"/>
    <col min="11009" max="11009" width="11.5703125" style="99" customWidth="1"/>
    <col min="11010" max="11010" width="45.7109375" style="99" customWidth="1"/>
    <col min="11011" max="11011" width="15.5703125" style="99" customWidth="1"/>
    <col min="11012" max="11012" width="17.85546875" style="99" customWidth="1"/>
    <col min="11013" max="11013" width="16.5703125" style="99" customWidth="1"/>
    <col min="11014" max="11014" width="17.140625" style="99" customWidth="1"/>
    <col min="11015" max="11015" width="14.42578125" style="99" customWidth="1"/>
    <col min="11016" max="11016" width="36.28515625" style="99" customWidth="1"/>
    <col min="11017" max="11264" width="8.85546875" style="99"/>
    <col min="11265" max="11265" width="11.5703125" style="99" customWidth="1"/>
    <col min="11266" max="11266" width="45.7109375" style="99" customWidth="1"/>
    <col min="11267" max="11267" width="15.5703125" style="99" customWidth="1"/>
    <col min="11268" max="11268" width="17.85546875" style="99" customWidth="1"/>
    <col min="11269" max="11269" width="16.5703125" style="99" customWidth="1"/>
    <col min="11270" max="11270" width="17.140625" style="99" customWidth="1"/>
    <col min="11271" max="11271" width="14.42578125" style="99" customWidth="1"/>
    <col min="11272" max="11272" width="36.28515625" style="99" customWidth="1"/>
    <col min="11273" max="11520" width="8.85546875" style="99"/>
    <col min="11521" max="11521" width="11.5703125" style="99" customWidth="1"/>
    <col min="11522" max="11522" width="45.7109375" style="99" customWidth="1"/>
    <col min="11523" max="11523" width="15.5703125" style="99" customWidth="1"/>
    <col min="11524" max="11524" width="17.85546875" style="99" customWidth="1"/>
    <col min="11525" max="11525" width="16.5703125" style="99" customWidth="1"/>
    <col min="11526" max="11526" width="17.140625" style="99" customWidth="1"/>
    <col min="11527" max="11527" width="14.42578125" style="99" customWidth="1"/>
    <col min="11528" max="11528" width="36.28515625" style="99" customWidth="1"/>
    <col min="11529" max="11776" width="8.85546875" style="99"/>
    <col min="11777" max="11777" width="11.5703125" style="99" customWidth="1"/>
    <col min="11778" max="11778" width="45.7109375" style="99" customWidth="1"/>
    <col min="11779" max="11779" width="15.5703125" style="99" customWidth="1"/>
    <col min="11780" max="11780" width="17.85546875" style="99" customWidth="1"/>
    <col min="11781" max="11781" width="16.5703125" style="99" customWidth="1"/>
    <col min="11782" max="11782" width="17.140625" style="99" customWidth="1"/>
    <col min="11783" max="11783" width="14.42578125" style="99" customWidth="1"/>
    <col min="11784" max="11784" width="36.28515625" style="99" customWidth="1"/>
    <col min="11785" max="12032" width="8.85546875" style="99"/>
    <col min="12033" max="12033" width="11.5703125" style="99" customWidth="1"/>
    <col min="12034" max="12034" width="45.7109375" style="99" customWidth="1"/>
    <col min="12035" max="12035" width="15.5703125" style="99" customWidth="1"/>
    <col min="12036" max="12036" width="17.85546875" style="99" customWidth="1"/>
    <col min="12037" max="12037" width="16.5703125" style="99" customWidth="1"/>
    <col min="12038" max="12038" width="17.140625" style="99" customWidth="1"/>
    <col min="12039" max="12039" width="14.42578125" style="99" customWidth="1"/>
    <col min="12040" max="12040" width="36.28515625" style="99" customWidth="1"/>
    <col min="12041" max="12288" width="8.85546875" style="99"/>
    <col min="12289" max="12289" width="11.5703125" style="99" customWidth="1"/>
    <col min="12290" max="12290" width="45.7109375" style="99" customWidth="1"/>
    <col min="12291" max="12291" width="15.5703125" style="99" customWidth="1"/>
    <col min="12292" max="12292" width="17.85546875" style="99" customWidth="1"/>
    <col min="12293" max="12293" width="16.5703125" style="99" customWidth="1"/>
    <col min="12294" max="12294" width="17.140625" style="99" customWidth="1"/>
    <col min="12295" max="12295" width="14.42578125" style="99" customWidth="1"/>
    <col min="12296" max="12296" width="36.28515625" style="99" customWidth="1"/>
    <col min="12297" max="12544" width="8.85546875" style="99"/>
    <col min="12545" max="12545" width="11.5703125" style="99" customWidth="1"/>
    <col min="12546" max="12546" width="45.7109375" style="99" customWidth="1"/>
    <col min="12547" max="12547" width="15.5703125" style="99" customWidth="1"/>
    <col min="12548" max="12548" width="17.85546875" style="99" customWidth="1"/>
    <col min="12549" max="12549" width="16.5703125" style="99" customWidth="1"/>
    <col min="12550" max="12550" width="17.140625" style="99" customWidth="1"/>
    <col min="12551" max="12551" width="14.42578125" style="99" customWidth="1"/>
    <col min="12552" max="12552" width="36.28515625" style="99" customWidth="1"/>
    <col min="12553" max="12800" width="8.85546875" style="99"/>
    <col min="12801" max="12801" width="11.5703125" style="99" customWidth="1"/>
    <col min="12802" max="12802" width="45.7109375" style="99" customWidth="1"/>
    <col min="12803" max="12803" width="15.5703125" style="99" customWidth="1"/>
    <col min="12804" max="12804" width="17.85546875" style="99" customWidth="1"/>
    <col min="12805" max="12805" width="16.5703125" style="99" customWidth="1"/>
    <col min="12806" max="12806" width="17.140625" style="99" customWidth="1"/>
    <col min="12807" max="12807" width="14.42578125" style="99" customWidth="1"/>
    <col min="12808" max="12808" width="36.28515625" style="99" customWidth="1"/>
    <col min="12809" max="13056" width="8.85546875" style="99"/>
    <col min="13057" max="13057" width="11.5703125" style="99" customWidth="1"/>
    <col min="13058" max="13058" width="45.7109375" style="99" customWidth="1"/>
    <col min="13059" max="13059" width="15.5703125" style="99" customWidth="1"/>
    <col min="13060" max="13060" width="17.85546875" style="99" customWidth="1"/>
    <col min="13061" max="13061" width="16.5703125" style="99" customWidth="1"/>
    <col min="13062" max="13062" width="17.140625" style="99" customWidth="1"/>
    <col min="13063" max="13063" width="14.42578125" style="99" customWidth="1"/>
    <col min="13064" max="13064" width="36.28515625" style="99" customWidth="1"/>
    <col min="13065" max="13312" width="8.85546875" style="99"/>
    <col min="13313" max="13313" width="11.5703125" style="99" customWidth="1"/>
    <col min="13314" max="13314" width="45.7109375" style="99" customWidth="1"/>
    <col min="13315" max="13315" width="15.5703125" style="99" customWidth="1"/>
    <col min="13316" max="13316" width="17.85546875" style="99" customWidth="1"/>
    <col min="13317" max="13317" width="16.5703125" style="99" customWidth="1"/>
    <col min="13318" max="13318" width="17.140625" style="99" customWidth="1"/>
    <col min="13319" max="13319" width="14.42578125" style="99" customWidth="1"/>
    <col min="13320" max="13320" width="36.28515625" style="99" customWidth="1"/>
    <col min="13321" max="13568" width="8.85546875" style="99"/>
    <col min="13569" max="13569" width="11.5703125" style="99" customWidth="1"/>
    <col min="13570" max="13570" width="45.7109375" style="99" customWidth="1"/>
    <col min="13571" max="13571" width="15.5703125" style="99" customWidth="1"/>
    <col min="13572" max="13572" width="17.85546875" style="99" customWidth="1"/>
    <col min="13573" max="13573" width="16.5703125" style="99" customWidth="1"/>
    <col min="13574" max="13574" width="17.140625" style="99" customWidth="1"/>
    <col min="13575" max="13575" width="14.42578125" style="99" customWidth="1"/>
    <col min="13576" max="13576" width="36.28515625" style="99" customWidth="1"/>
    <col min="13577" max="13824" width="8.85546875" style="99"/>
    <col min="13825" max="13825" width="11.5703125" style="99" customWidth="1"/>
    <col min="13826" max="13826" width="45.7109375" style="99" customWidth="1"/>
    <col min="13827" max="13827" width="15.5703125" style="99" customWidth="1"/>
    <col min="13828" max="13828" width="17.85546875" style="99" customWidth="1"/>
    <col min="13829" max="13829" width="16.5703125" style="99" customWidth="1"/>
    <col min="13830" max="13830" width="17.140625" style="99" customWidth="1"/>
    <col min="13831" max="13831" width="14.42578125" style="99" customWidth="1"/>
    <col min="13832" max="13832" width="36.28515625" style="99" customWidth="1"/>
    <col min="13833" max="14080" width="8.85546875" style="99"/>
    <col min="14081" max="14081" width="11.5703125" style="99" customWidth="1"/>
    <col min="14082" max="14082" width="45.7109375" style="99" customWidth="1"/>
    <col min="14083" max="14083" width="15.5703125" style="99" customWidth="1"/>
    <col min="14084" max="14084" width="17.85546875" style="99" customWidth="1"/>
    <col min="14085" max="14085" width="16.5703125" style="99" customWidth="1"/>
    <col min="14086" max="14086" width="17.140625" style="99" customWidth="1"/>
    <col min="14087" max="14087" width="14.42578125" style="99" customWidth="1"/>
    <col min="14088" max="14088" width="36.28515625" style="99" customWidth="1"/>
    <col min="14089" max="14336" width="8.85546875" style="99"/>
    <col min="14337" max="14337" width="11.5703125" style="99" customWidth="1"/>
    <col min="14338" max="14338" width="45.7109375" style="99" customWidth="1"/>
    <col min="14339" max="14339" width="15.5703125" style="99" customWidth="1"/>
    <col min="14340" max="14340" width="17.85546875" style="99" customWidth="1"/>
    <col min="14341" max="14341" width="16.5703125" style="99" customWidth="1"/>
    <col min="14342" max="14342" width="17.140625" style="99" customWidth="1"/>
    <col min="14343" max="14343" width="14.42578125" style="99" customWidth="1"/>
    <col min="14344" max="14344" width="36.28515625" style="99" customWidth="1"/>
    <col min="14345" max="14592" width="8.85546875" style="99"/>
    <col min="14593" max="14593" width="11.5703125" style="99" customWidth="1"/>
    <col min="14594" max="14594" width="45.7109375" style="99" customWidth="1"/>
    <col min="14595" max="14595" width="15.5703125" style="99" customWidth="1"/>
    <col min="14596" max="14596" width="17.85546875" style="99" customWidth="1"/>
    <col min="14597" max="14597" width="16.5703125" style="99" customWidth="1"/>
    <col min="14598" max="14598" width="17.140625" style="99" customWidth="1"/>
    <col min="14599" max="14599" width="14.42578125" style="99" customWidth="1"/>
    <col min="14600" max="14600" width="36.28515625" style="99" customWidth="1"/>
    <col min="14601" max="14848" width="8.85546875" style="99"/>
    <col min="14849" max="14849" width="11.5703125" style="99" customWidth="1"/>
    <col min="14850" max="14850" width="45.7109375" style="99" customWidth="1"/>
    <col min="14851" max="14851" width="15.5703125" style="99" customWidth="1"/>
    <col min="14852" max="14852" width="17.85546875" style="99" customWidth="1"/>
    <col min="14853" max="14853" width="16.5703125" style="99" customWidth="1"/>
    <col min="14854" max="14854" width="17.140625" style="99" customWidth="1"/>
    <col min="14855" max="14855" width="14.42578125" style="99" customWidth="1"/>
    <col min="14856" max="14856" width="36.28515625" style="99" customWidth="1"/>
    <col min="14857" max="15104" width="8.85546875" style="99"/>
    <col min="15105" max="15105" width="11.5703125" style="99" customWidth="1"/>
    <col min="15106" max="15106" width="45.7109375" style="99" customWidth="1"/>
    <col min="15107" max="15107" width="15.5703125" style="99" customWidth="1"/>
    <col min="15108" max="15108" width="17.85546875" style="99" customWidth="1"/>
    <col min="15109" max="15109" width="16.5703125" style="99" customWidth="1"/>
    <col min="15110" max="15110" width="17.140625" style="99" customWidth="1"/>
    <col min="15111" max="15111" width="14.42578125" style="99" customWidth="1"/>
    <col min="15112" max="15112" width="36.28515625" style="99" customWidth="1"/>
    <col min="15113" max="15360" width="8.85546875" style="99"/>
    <col min="15361" max="15361" width="11.5703125" style="99" customWidth="1"/>
    <col min="15362" max="15362" width="45.7109375" style="99" customWidth="1"/>
    <col min="15363" max="15363" width="15.5703125" style="99" customWidth="1"/>
    <col min="15364" max="15364" width="17.85546875" style="99" customWidth="1"/>
    <col min="15365" max="15365" width="16.5703125" style="99" customWidth="1"/>
    <col min="15366" max="15366" width="17.140625" style="99" customWidth="1"/>
    <col min="15367" max="15367" width="14.42578125" style="99" customWidth="1"/>
    <col min="15368" max="15368" width="36.28515625" style="99" customWidth="1"/>
    <col min="15369" max="15616" width="8.85546875" style="99"/>
    <col min="15617" max="15617" width="11.5703125" style="99" customWidth="1"/>
    <col min="15618" max="15618" width="45.7109375" style="99" customWidth="1"/>
    <col min="15619" max="15619" width="15.5703125" style="99" customWidth="1"/>
    <col min="15620" max="15620" width="17.85546875" style="99" customWidth="1"/>
    <col min="15621" max="15621" width="16.5703125" style="99" customWidth="1"/>
    <col min="15622" max="15622" width="17.140625" style="99" customWidth="1"/>
    <col min="15623" max="15623" width="14.42578125" style="99" customWidth="1"/>
    <col min="15624" max="15624" width="36.28515625" style="99" customWidth="1"/>
    <col min="15625" max="15872" width="8.85546875" style="99"/>
    <col min="15873" max="15873" width="11.5703125" style="99" customWidth="1"/>
    <col min="15874" max="15874" width="45.7109375" style="99" customWidth="1"/>
    <col min="15875" max="15875" width="15.5703125" style="99" customWidth="1"/>
    <col min="15876" max="15876" width="17.85546875" style="99" customWidth="1"/>
    <col min="15877" max="15877" width="16.5703125" style="99" customWidth="1"/>
    <col min="15878" max="15878" width="17.140625" style="99" customWidth="1"/>
    <col min="15879" max="15879" width="14.42578125" style="99" customWidth="1"/>
    <col min="15880" max="15880" width="36.28515625" style="99" customWidth="1"/>
    <col min="15881" max="16128" width="8.85546875" style="99"/>
    <col min="16129" max="16129" width="11.5703125" style="99" customWidth="1"/>
    <col min="16130" max="16130" width="45.7109375" style="99" customWidth="1"/>
    <col min="16131" max="16131" width="15.5703125" style="99" customWidth="1"/>
    <col min="16132" max="16132" width="17.85546875" style="99" customWidth="1"/>
    <col min="16133" max="16133" width="16.5703125" style="99" customWidth="1"/>
    <col min="16134" max="16134" width="17.140625" style="99" customWidth="1"/>
    <col min="16135" max="16135" width="14.42578125" style="99" customWidth="1"/>
    <col min="16136" max="16136" width="36.28515625" style="99" customWidth="1"/>
    <col min="16137" max="16384" width="8.85546875" style="99"/>
  </cols>
  <sheetData>
    <row r="1" spans="1:7" s="11" customFormat="1" ht="15.75" x14ac:dyDescent="0.25">
      <c r="A1" s="9"/>
      <c r="B1" s="9"/>
      <c r="C1" s="9"/>
      <c r="D1" s="807" t="s">
        <v>347</v>
      </c>
      <c r="E1" s="807"/>
      <c r="F1" s="807"/>
      <c r="G1" s="12"/>
    </row>
    <row r="2" spans="1:7" s="11" customFormat="1" ht="18.75" x14ac:dyDescent="0.3">
      <c r="A2" s="9"/>
      <c r="B2" s="13"/>
      <c r="C2" s="9"/>
      <c r="D2" s="14" t="s">
        <v>833</v>
      </c>
      <c r="E2" s="14"/>
      <c r="F2" s="14"/>
      <c r="G2" s="12"/>
    </row>
    <row r="3" spans="1:7" s="11" customFormat="1" ht="15.75" x14ac:dyDescent="0.25">
      <c r="A3" s="9"/>
      <c r="B3" s="9"/>
      <c r="C3" s="9"/>
      <c r="D3" s="14" t="s">
        <v>1102</v>
      </c>
      <c r="E3" s="14"/>
      <c r="F3" s="14"/>
      <c r="G3" s="12"/>
    </row>
    <row r="4" spans="1:7" s="90" customFormat="1" ht="18.75" x14ac:dyDescent="0.2">
      <c r="B4" s="91"/>
      <c r="C4" s="92"/>
      <c r="D4" s="808"/>
      <c r="E4" s="808"/>
      <c r="F4" s="808"/>
    </row>
    <row r="5" spans="1:7" s="90" customFormat="1" ht="18.75" x14ac:dyDescent="0.2">
      <c r="A5" s="809" t="s">
        <v>348</v>
      </c>
      <c r="B5" s="809"/>
      <c r="C5" s="809"/>
      <c r="D5" s="809"/>
      <c r="E5" s="809"/>
      <c r="F5" s="809"/>
    </row>
    <row r="6" spans="1:7" s="90" customFormat="1" ht="23.25" customHeight="1" x14ac:dyDescent="0.3">
      <c r="A6" s="810" t="s">
        <v>768</v>
      </c>
      <c r="B6" s="810"/>
      <c r="C6" s="810"/>
      <c r="D6" s="810"/>
      <c r="E6" s="810"/>
      <c r="F6" s="810"/>
      <c r="G6" s="91"/>
    </row>
    <row r="7" spans="1:7" s="90" customFormat="1" ht="15.75" customHeight="1" x14ac:dyDescent="0.3">
      <c r="A7" s="524"/>
      <c r="B7" s="93">
        <v>11503000000</v>
      </c>
      <c r="C7" s="524"/>
      <c r="D7" s="524"/>
      <c r="E7" s="524"/>
      <c r="F7" s="524"/>
      <c r="G7" s="91"/>
    </row>
    <row r="8" spans="1:7" s="96" customFormat="1" ht="16.5" customHeight="1" x14ac:dyDescent="0.25">
      <c r="A8" s="94"/>
      <c r="B8" s="93" t="s">
        <v>2</v>
      </c>
      <c r="C8" s="523"/>
      <c r="D8" s="523"/>
      <c r="E8" s="523"/>
      <c r="F8" s="523"/>
      <c r="G8" s="95"/>
    </row>
    <row r="9" spans="1:7" ht="19.5" thickBot="1" x14ac:dyDescent="0.25">
      <c r="A9" s="97"/>
      <c r="B9" s="98"/>
      <c r="C9" s="94"/>
      <c r="D9" s="97"/>
      <c r="E9" s="97"/>
      <c r="F9" s="97" t="s">
        <v>188</v>
      </c>
    </row>
    <row r="10" spans="1:7" s="100" customFormat="1" ht="24.75" customHeight="1" thickBot="1" x14ac:dyDescent="0.25">
      <c r="A10" s="811" t="s">
        <v>349</v>
      </c>
      <c r="B10" s="813" t="s">
        <v>350</v>
      </c>
      <c r="C10" s="815" t="s">
        <v>182</v>
      </c>
      <c r="D10" s="817" t="s">
        <v>11</v>
      </c>
      <c r="E10" s="819" t="s">
        <v>12</v>
      </c>
      <c r="F10" s="820"/>
    </row>
    <row r="11" spans="1:7" s="100" customFormat="1" ht="61.5" customHeight="1" thickBot="1" x14ac:dyDescent="0.25">
      <c r="A11" s="812"/>
      <c r="B11" s="814"/>
      <c r="C11" s="816"/>
      <c r="D11" s="818"/>
      <c r="E11" s="101" t="s">
        <v>10</v>
      </c>
      <c r="F11" s="102" t="s">
        <v>14</v>
      </c>
      <c r="G11" s="103"/>
    </row>
    <row r="12" spans="1:7" s="100" customFormat="1" ht="13.5" customHeight="1" thickBot="1" x14ac:dyDescent="0.25">
      <c r="A12" s="520">
        <v>1</v>
      </c>
      <c r="B12" s="104">
        <v>2</v>
      </c>
      <c r="C12" s="104">
        <v>3</v>
      </c>
      <c r="D12" s="521">
        <v>4</v>
      </c>
      <c r="E12" s="104">
        <v>5</v>
      </c>
      <c r="F12" s="522">
        <v>6</v>
      </c>
      <c r="G12" s="103"/>
    </row>
    <row r="13" spans="1:7" s="100" customFormat="1" ht="19.5" thickBot="1" x14ac:dyDescent="0.25">
      <c r="A13" s="804" t="s">
        <v>351</v>
      </c>
      <c r="B13" s="805"/>
      <c r="C13" s="805"/>
      <c r="D13" s="805"/>
      <c r="E13" s="805"/>
      <c r="F13" s="806"/>
      <c r="G13" s="103"/>
    </row>
    <row r="14" spans="1:7" s="100" customFormat="1" ht="18.75" x14ac:dyDescent="0.2">
      <c r="A14" s="105">
        <v>200000</v>
      </c>
      <c r="B14" s="106" t="s">
        <v>352</v>
      </c>
      <c r="C14" s="916">
        <f>SUM(D14:E14)</f>
        <v>12407414.300000001</v>
      </c>
      <c r="D14" s="432">
        <f>D15</f>
        <v>3729746.8800000008</v>
      </c>
      <c r="E14" s="433">
        <f>E15</f>
        <v>8677667.4199999999</v>
      </c>
      <c r="F14" s="434">
        <f>F15</f>
        <v>8527293</v>
      </c>
      <c r="G14" s="107"/>
    </row>
    <row r="15" spans="1:7" s="111" customFormat="1" ht="39.75" customHeight="1" x14ac:dyDescent="0.2">
      <c r="A15" s="108">
        <v>208000</v>
      </c>
      <c r="B15" s="109" t="s">
        <v>353</v>
      </c>
      <c r="C15" s="917">
        <f t="shared" ref="C15:C29" si="0">SUM(D15:E15)</f>
        <v>12407414.300000001</v>
      </c>
      <c r="D15" s="435">
        <f>D18-D21+D25</f>
        <v>3729746.8800000008</v>
      </c>
      <c r="E15" s="436">
        <f>E18-E21+E24+E25</f>
        <v>8677667.4199999999</v>
      </c>
      <c r="F15" s="437">
        <f>F18-F21+F25</f>
        <v>8527293</v>
      </c>
      <c r="G15" s="110"/>
    </row>
    <row r="16" spans="1:7" s="113" customFormat="1" ht="39.6" customHeight="1" x14ac:dyDescent="0.2">
      <c r="A16" s="108"/>
      <c r="B16" s="109" t="s">
        <v>354</v>
      </c>
      <c r="C16" s="917">
        <f>SUM(D16:E16)</f>
        <v>12407414.300000001</v>
      </c>
      <c r="D16" s="435">
        <f>D18-D21</f>
        <v>12207039.880000001</v>
      </c>
      <c r="E16" s="436">
        <f>E18-E21+E24</f>
        <v>200374.41999999998</v>
      </c>
      <c r="F16" s="437">
        <f>F18-F21</f>
        <v>50000</v>
      </c>
      <c r="G16" s="112"/>
    </row>
    <row r="17" spans="1:8" s="117" customFormat="1" ht="37.5" x14ac:dyDescent="0.2">
      <c r="A17" s="114"/>
      <c r="B17" s="115" t="s">
        <v>355</v>
      </c>
      <c r="C17" s="918">
        <f t="shared" si="0"/>
        <v>1381362.37</v>
      </c>
      <c r="D17" s="438">
        <f>D19-D22</f>
        <v>1381362.37</v>
      </c>
      <c r="E17" s="439">
        <f>E19-E23</f>
        <v>0</v>
      </c>
      <c r="F17" s="440">
        <f>F19-F23</f>
        <v>0</v>
      </c>
      <c r="G17" s="116"/>
    </row>
    <row r="18" spans="1:8" s="100" customFormat="1" ht="18.75" x14ac:dyDescent="0.2">
      <c r="A18" s="118">
        <v>208100</v>
      </c>
      <c r="B18" s="119" t="s">
        <v>356</v>
      </c>
      <c r="C18" s="919">
        <f t="shared" si="0"/>
        <v>12637958.940000001</v>
      </c>
      <c r="D18" s="441">
        <f>12214785.39+175000</f>
        <v>12389785.390000001</v>
      </c>
      <c r="E18" s="441">
        <f>248173.55</f>
        <v>248173.55</v>
      </c>
      <c r="F18" s="441">
        <f>248173.55-3.69-98911.92-51463.42</f>
        <v>97794.52</v>
      </c>
      <c r="G18" s="107"/>
    </row>
    <row r="19" spans="1:8" s="113" customFormat="1" ht="19.5" x14ac:dyDescent="0.2">
      <c r="A19" s="120"/>
      <c r="B19" s="128" t="s">
        <v>360</v>
      </c>
      <c r="C19" s="920">
        <f t="shared" si="0"/>
        <v>1381362.37</v>
      </c>
      <c r="D19" s="442">
        <v>1381362.37</v>
      </c>
      <c r="E19" s="442"/>
      <c r="F19" s="442"/>
      <c r="G19" s="112"/>
    </row>
    <row r="20" spans="1:8" s="113" customFormat="1" ht="19.5" x14ac:dyDescent="0.2">
      <c r="A20" s="120"/>
      <c r="B20" s="130" t="s">
        <v>370</v>
      </c>
      <c r="C20" s="920">
        <f t="shared" si="0"/>
        <v>482768.36</v>
      </c>
      <c r="D20" s="442">
        <f>76416.22+406352.14</f>
        <v>482768.36</v>
      </c>
      <c r="E20" s="442"/>
      <c r="F20" s="442"/>
      <c r="G20" s="112"/>
    </row>
    <row r="21" spans="1:8" s="100" customFormat="1" ht="18.75" x14ac:dyDescent="0.2">
      <c r="A21" s="118">
        <v>208200</v>
      </c>
      <c r="B21" s="119" t="s">
        <v>357</v>
      </c>
      <c r="C21" s="919">
        <f t="shared" si="0"/>
        <v>230540.95000000059</v>
      </c>
      <c r="D21" s="441">
        <f>12214785.39+175000-5459951-3432969.15-1141319-1696448.59-20000-50000-406352.14</f>
        <v>182745.51000000059</v>
      </c>
      <c r="E21" s="441">
        <f>248173.55-3.69-50000-51463.42-36780-62131</f>
        <v>47795.44</v>
      </c>
      <c r="F21" s="441">
        <f>248173.55-3.69-98911.92-51463.42-50000</f>
        <v>47794.520000000004</v>
      </c>
      <c r="G21" s="121">
        <f>D21-D23</f>
        <v>182745.51000000059</v>
      </c>
      <c r="H21" s="783"/>
    </row>
    <row r="22" spans="1:8" s="100" customFormat="1" ht="19.5" hidden="1" x14ac:dyDescent="0.2">
      <c r="A22" s="118"/>
      <c r="B22" s="128" t="s">
        <v>360</v>
      </c>
      <c r="C22" s="920">
        <f t="shared" si="0"/>
        <v>0</v>
      </c>
      <c r="D22" s="442">
        <f>1381362.37-1381362.37</f>
        <v>0</v>
      </c>
      <c r="E22" s="442"/>
      <c r="F22" s="442"/>
      <c r="G22" s="121"/>
    </row>
    <row r="23" spans="1:8" s="113" customFormat="1" ht="19.5" x14ac:dyDescent="0.2">
      <c r="A23" s="120"/>
      <c r="B23" s="130" t="s">
        <v>370</v>
      </c>
      <c r="C23" s="920">
        <f t="shared" si="0"/>
        <v>0</v>
      </c>
      <c r="D23" s="442">
        <f>76416.22+406352.14-406352.14-76416.22</f>
        <v>0</v>
      </c>
      <c r="E23" s="442"/>
      <c r="F23" s="442"/>
      <c r="G23" s="122">
        <f>G21-207.99-175000</f>
        <v>7537.5200000006007</v>
      </c>
    </row>
    <row r="24" spans="1:8" s="113" customFormat="1" ht="19.5" x14ac:dyDescent="0.2">
      <c r="A24" s="120">
        <v>208340</v>
      </c>
      <c r="B24" s="130" t="s">
        <v>704</v>
      </c>
      <c r="C24" s="920">
        <f t="shared" si="0"/>
        <v>-3.69</v>
      </c>
      <c r="D24" s="442"/>
      <c r="E24" s="442">
        <v>-3.69</v>
      </c>
      <c r="F24" s="442"/>
      <c r="G24" s="122"/>
    </row>
    <row r="25" spans="1:8" s="126" customFormat="1" ht="58.5" customHeight="1" x14ac:dyDescent="0.2">
      <c r="A25" s="123">
        <v>208400</v>
      </c>
      <c r="B25" s="124" t="s">
        <v>358</v>
      </c>
      <c r="C25" s="921">
        <f t="shared" si="0"/>
        <v>0</v>
      </c>
      <c r="D25" s="441">
        <f>-E25</f>
        <v>-8477293</v>
      </c>
      <c r="E25" s="441">
        <f>6378464+2098829</f>
        <v>8477293</v>
      </c>
      <c r="F25" s="441">
        <f>E25</f>
        <v>8477293</v>
      </c>
      <c r="G25" s="125"/>
    </row>
    <row r="26" spans="1:8" s="126" customFormat="1" ht="19.5" x14ac:dyDescent="0.2">
      <c r="A26" s="127"/>
      <c r="B26" s="128" t="s">
        <v>359</v>
      </c>
      <c r="C26" s="922">
        <f t="shared" si="0"/>
        <v>0</v>
      </c>
      <c r="D26" s="443"/>
      <c r="E26" s="442"/>
      <c r="F26" s="444"/>
      <c r="G26" s="125"/>
    </row>
    <row r="27" spans="1:8" s="126" customFormat="1" ht="19.5" x14ac:dyDescent="0.2">
      <c r="A27" s="127"/>
      <c r="B27" s="128" t="s">
        <v>360</v>
      </c>
      <c r="C27" s="922">
        <f t="shared" si="0"/>
        <v>0</v>
      </c>
      <c r="D27" s="441">
        <f>-E27</f>
        <v>-895500</v>
      </c>
      <c r="E27" s="781">
        <v>895500</v>
      </c>
      <c r="F27" s="444">
        <f>E27</f>
        <v>895500</v>
      </c>
      <c r="G27" s="125"/>
    </row>
    <row r="28" spans="1:8" s="132" customFormat="1" ht="26.25" thickBot="1" x14ac:dyDescent="0.25">
      <c r="A28" s="129"/>
      <c r="B28" s="130" t="s">
        <v>370</v>
      </c>
      <c r="C28" s="923">
        <f t="shared" si="0"/>
        <v>0</v>
      </c>
      <c r="D28" s="441">
        <f>-E28</f>
        <v>-2007816</v>
      </c>
      <c r="E28" s="441">
        <f>208566+1799250</f>
        <v>2007816</v>
      </c>
      <c r="F28" s="445">
        <f>E28</f>
        <v>2007816</v>
      </c>
      <c r="G28" s="125"/>
      <c r="H28" s="131"/>
    </row>
    <row r="29" spans="1:8" s="136" customFormat="1" ht="21" thickBot="1" x14ac:dyDescent="0.25">
      <c r="A29" s="133" t="s">
        <v>345</v>
      </c>
      <c r="B29" s="134" t="s">
        <v>361</v>
      </c>
      <c r="C29" s="924">
        <f t="shared" si="0"/>
        <v>12407414.300000001</v>
      </c>
      <c r="D29" s="446">
        <f>D14</f>
        <v>3729746.8800000008</v>
      </c>
      <c r="E29" s="447">
        <f>E14</f>
        <v>8677667.4199999999</v>
      </c>
      <c r="F29" s="448">
        <f>F14</f>
        <v>8527293</v>
      </c>
      <c r="G29" s="135"/>
    </row>
    <row r="30" spans="1:8" s="136" customFormat="1" ht="21" thickBot="1" x14ac:dyDescent="0.25">
      <c r="A30" s="804" t="s">
        <v>362</v>
      </c>
      <c r="B30" s="805"/>
      <c r="C30" s="805"/>
      <c r="D30" s="805"/>
      <c r="E30" s="805"/>
      <c r="F30" s="806"/>
      <c r="G30" s="135"/>
    </row>
    <row r="31" spans="1:8" s="100" customFormat="1" ht="37.5" x14ac:dyDescent="0.2">
      <c r="A31" s="105">
        <v>600000</v>
      </c>
      <c r="B31" s="106" t="s">
        <v>363</v>
      </c>
      <c r="C31" s="916">
        <f>SUM(D31:E31)</f>
        <v>12407414.300000001</v>
      </c>
      <c r="D31" s="432">
        <f>D32</f>
        <v>3729746.8800000008</v>
      </c>
      <c r="E31" s="433">
        <f>E32</f>
        <v>8677667.4199999999</v>
      </c>
      <c r="F31" s="434">
        <f>F32</f>
        <v>8527293</v>
      </c>
      <c r="G31" s="107"/>
    </row>
    <row r="32" spans="1:8" s="111" customFormat="1" ht="28.5" customHeight="1" x14ac:dyDescent="0.2">
      <c r="A32" s="137" t="s">
        <v>364</v>
      </c>
      <c r="B32" s="138" t="s">
        <v>365</v>
      </c>
      <c r="C32" s="925">
        <f t="shared" ref="C32:C45" si="1">SUM(D32:E32)</f>
        <v>12407414.300000001</v>
      </c>
      <c r="D32" s="452">
        <f>D36-D39+D43</f>
        <v>3729746.8800000008</v>
      </c>
      <c r="E32" s="453">
        <f>E36-E39++E42+E43</f>
        <v>8677667.4199999999</v>
      </c>
      <c r="F32" s="454">
        <f>F36-F39+F43</f>
        <v>8527293</v>
      </c>
      <c r="G32" s="139"/>
    </row>
    <row r="33" spans="1:7" s="113" customFormat="1" ht="43.9" customHeight="1" x14ac:dyDescent="0.2">
      <c r="A33" s="137"/>
      <c r="B33" s="109" t="s">
        <v>354</v>
      </c>
      <c r="C33" s="925">
        <f t="shared" si="1"/>
        <v>12407417.99</v>
      </c>
      <c r="D33" s="452">
        <f t="shared" ref="D33:F34" si="2">D36-D39</f>
        <v>12207039.880000001</v>
      </c>
      <c r="E33" s="453">
        <f t="shared" si="2"/>
        <v>200378.11</v>
      </c>
      <c r="F33" s="454">
        <f t="shared" si="2"/>
        <v>50000</v>
      </c>
      <c r="G33" s="140"/>
    </row>
    <row r="34" spans="1:7" s="117" customFormat="1" ht="37.5" x14ac:dyDescent="0.2">
      <c r="A34" s="141"/>
      <c r="B34" s="115" t="s">
        <v>366</v>
      </c>
      <c r="C34" s="926">
        <f t="shared" si="1"/>
        <v>1381362.37</v>
      </c>
      <c r="D34" s="443">
        <f t="shared" si="2"/>
        <v>1381362.37</v>
      </c>
      <c r="E34" s="455">
        <f t="shared" si="2"/>
        <v>0</v>
      </c>
      <c r="F34" s="456">
        <f t="shared" si="2"/>
        <v>0</v>
      </c>
      <c r="G34" s="142"/>
    </row>
    <row r="35" spans="1:7" s="117" customFormat="1" ht="37.5" hidden="1" x14ac:dyDescent="0.2">
      <c r="A35" s="141"/>
      <c r="B35" s="115" t="s">
        <v>671</v>
      </c>
      <c r="C35" s="926"/>
      <c r="D35" s="443"/>
      <c r="E35" s="455"/>
      <c r="F35" s="456"/>
      <c r="G35" s="142"/>
    </row>
    <row r="36" spans="1:7" s="100" customFormat="1" ht="18.75" x14ac:dyDescent="0.2">
      <c r="A36" s="143" t="s">
        <v>367</v>
      </c>
      <c r="B36" s="119" t="s">
        <v>356</v>
      </c>
      <c r="C36" s="927">
        <f t="shared" si="1"/>
        <v>12637958.940000001</v>
      </c>
      <c r="D36" s="441">
        <f t="shared" ref="D36:F40" si="3">D18</f>
        <v>12389785.390000001</v>
      </c>
      <c r="E36" s="457">
        <f t="shared" si="3"/>
        <v>248173.55</v>
      </c>
      <c r="F36" s="457">
        <f t="shared" si="3"/>
        <v>97794.52</v>
      </c>
      <c r="G36" s="144"/>
    </row>
    <row r="37" spans="1:7" s="113" customFormat="1" ht="37.5" x14ac:dyDescent="0.2">
      <c r="A37" s="141"/>
      <c r="B37" s="115" t="s">
        <v>366</v>
      </c>
      <c r="C37" s="925">
        <f t="shared" si="1"/>
        <v>1381362.37</v>
      </c>
      <c r="D37" s="442">
        <f t="shared" si="3"/>
        <v>1381362.37</v>
      </c>
      <c r="E37" s="455">
        <f t="shared" si="3"/>
        <v>0</v>
      </c>
      <c r="F37" s="455">
        <f t="shared" si="3"/>
        <v>0</v>
      </c>
      <c r="G37" s="145"/>
    </row>
    <row r="38" spans="1:7" s="113" customFormat="1" ht="37.5" x14ac:dyDescent="0.2">
      <c r="A38" s="141"/>
      <c r="B38" s="115" t="s">
        <v>671</v>
      </c>
      <c r="C38" s="925">
        <f t="shared" si="1"/>
        <v>482768.36</v>
      </c>
      <c r="D38" s="442">
        <f t="shared" si="3"/>
        <v>482768.36</v>
      </c>
      <c r="E38" s="442">
        <f t="shared" si="3"/>
        <v>0</v>
      </c>
      <c r="F38" s="442">
        <f t="shared" si="3"/>
        <v>0</v>
      </c>
      <c r="G38" s="145"/>
    </row>
    <row r="39" spans="1:7" ht="18.75" x14ac:dyDescent="0.2">
      <c r="A39" s="146" t="s">
        <v>368</v>
      </c>
      <c r="B39" s="119" t="s">
        <v>357</v>
      </c>
      <c r="C39" s="927">
        <f t="shared" si="1"/>
        <v>230540.95000000059</v>
      </c>
      <c r="D39" s="441">
        <f t="shared" si="3"/>
        <v>182745.51000000059</v>
      </c>
      <c r="E39" s="457">
        <f t="shared" si="3"/>
        <v>47795.44</v>
      </c>
      <c r="F39" s="457">
        <f t="shared" si="3"/>
        <v>47794.520000000004</v>
      </c>
      <c r="G39" s="147"/>
    </row>
    <row r="40" spans="1:7" s="117" customFormat="1" ht="37.5" x14ac:dyDescent="0.2">
      <c r="A40" s="148"/>
      <c r="B40" s="115" t="s">
        <v>355</v>
      </c>
      <c r="C40" s="925">
        <f t="shared" si="1"/>
        <v>0</v>
      </c>
      <c r="D40" s="442">
        <f t="shared" si="3"/>
        <v>0</v>
      </c>
      <c r="E40" s="442">
        <f t="shared" si="3"/>
        <v>0</v>
      </c>
      <c r="F40" s="442">
        <f t="shared" si="3"/>
        <v>0</v>
      </c>
      <c r="G40" s="142"/>
    </row>
    <row r="41" spans="1:7" s="117" customFormat="1" ht="37.5" x14ac:dyDescent="0.2">
      <c r="A41" s="148"/>
      <c r="B41" s="115" t="s">
        <v>671</v>
      </c>
      <c r="C41" s="925">
        <f t="shared" si="1"/>
        <v>0</v>
      </c>
      <c r="D41" s="442">
        <f>D23</f>
        <v>0</v>
      </c>
      <c r="E41" s="442">
        <f>E23</f>
        <v>0</v>
      </c>
      <c r="F41" s="442">
        <f>F23</f>
        <v>0</v>
      </c>
      <c r="G41" s="142"/>
    </row>
    <row r="42" spans="1:7" s="117" customFormat="1" ht="19.5" x14ac:dyDescent="0.2">
      <c r="A42" s="148" t="s">
        <v>717</v>
      </c>
      <c r="B42" s="130" t="s">
        <v>704</v>
      </c>
      <c r="C42" s="925">
        <f t="shared" si="1"/>
        <v>-3.69</v>
      </c>
      <c r="D42" s="442"/>
      <c r="E42" s="442">
        <f>E24</f>
        <v>-3.69</v>
      </c>
      <c r="F42" s="442"/>
      <c r="G42" s="142"/>
    </row>
    <row r="43" spans="1:7" ht="61.5" customHeight="1" x14ac:dyDescent="0.2">
      <c r="A43" s="146" t="s">
        <v>369</v>
      </c>
      <c r="B43" s="119" t="s">
        <v>358</v>
      </c>
      <c r="C43" s="925">
        <f t="shared" si="1"/>
        <v>0</v>
      </c>
      <c r="D43" s="441">
        <f t="shared" ref="D43:F46" si="4">D25</f>
        <v>-8477293</v>
      </c>
      <c r="E43" s="457">
        <f t="shared" si="4"/>
        <v>8477293</v>
      </c>
      <c r="F43" s="457">
        <f t="shared" si="4"/>
        <v>8477293</v>
      </c>
      <c r="G43" s="147"/>
    </row>
    <row r="44" spans="1:7" s="117" customFormat="1" ht="19.5" x14ac:dyDescent="0.2">
      <c r="A44" s="127"/>
      <c r="B44" s="128" t="s">
        <v>359</v>
      </c>
      <c r="C44" s="925">
        <f t="shared" si="1"/>
        <v>0</v>
      </c>
      <c r="D44" s="443">
        <f t="shared" si="4"/>
        <v>0</v>
      </c>
      <c r="E44" s="455">
        <f t="shared" si="4"/>
        <v>0</v>
      </c>
      <c r="F44" s="456">
        <f t="shared" si="4"/>
        <v>0</v>
      </c>
      <c r="G44" s="142"/>
    </row>
    <row r="45" spans="1:7" s="117" customFormat="1" ht="19.5" x14ac:dyDescent="0.2">
      <c r="A45" s="127"/>
      <c r="B45" s="128" t="s">
        <v>360</v>
      </c>
      <c r="C45" s="925">
        <f t="shared" si="1"/>
        <v>0</v>
      </c>
      <c r="D45" s="443">
        <f t="shared" si="4"/>
        <v>-895500</v>
      </c>
      <c r="E45" s="455">
        <f t="shared" si="4"/>
        <v>895500</v>
      </c>
      <c r="F45" s="456">
        <f t="shared" si="4"/>
        <v>895500</v>
      </c>
      <c r="G45" s="142"/>
    </row>
    <row r="46" spans="1:7" ht="19.5" thickBot="1" x14ac:dyDescent="0.25">
      <c r="A46" s="129"/>
      <c r="B46" s="130" t="s">
        <v>370</v>
      </c>
      <c r="C46" s="928"/>
      <c r="D46" s="458">
        <f t="shared" si="4"/>
        <v>-2007816</v>
      </c>
      <c r="E46" s="459">
        <f t="shared" si="4"/>
        <v>2007816</v>
      </c>
      <c r="F46" s="460">
        <f t="shared" si="4"/>
        <v>2007816</v>
      </c>
      <c r="G46" s="147"/>
    </row>
    <row r="47" spans="1:7" s="150" customFormat="1" ht="21" thickBot="1" x14ac:dyDescent="0.25">
      <c r="A47" s="133" t="s">
        <v>345</v>
      </c>
      <c r="B47" s="134" t="s">
        <v>361</v>
      </c>
      <c r="C47" s="461"/>
      <c r="D47" s="462">
        <f>D31</f>
        <v>3729746.8800000008</v>
      </c>
      <c r="E47" s="463">
        <f>E31</f>
        <v>8677667.4199999999</v>
      </c>
      <c r="F47" s="464">
        <f>F31</f>
        <v>8527293</v>
      </c>
      <c r="G47" s="149"/>
    </row>
    <row r="48" spans="1:7" s="97" customFormat="1" ht="18.75" x14ac:dyDescent="0.2">
      <c r="B48" s="98"/>
      <c r="C48" s="151"/>
    </row>
    <row r="49" spans="1:5" ht="15.75" x14ac:dyDescent="0.25">
      <c r="A49" s="152"/>
      <c r="B49" s="512" t="s">
        <v>662</v>
      </c>
      <c r="C49" s="9"/>
      <c r="D49" s="9"/>
      <c r="E49" s="9" t="s">
        <v>663</v>
      </c>
    </row>
    <row r="50" spans="1:5" x14ac:dyDescent="0.2">
      <c r="A50" s="152"/>
      <c r="B50" s="153"/>
      <c r="C50" s="154"/>
    </row>
    <row r="51" spans="1:5" x14ac:dyDescent="0.2">
      <c r="A51" s="152"/>
      <c r="B51" s="153"/>
      <c r="C51" s="154"/>
    </row>
    <row r="52" spans="1:5" x14ac:dyDescent="0.2">
      <c r="A52" s="152"/>
      <c r="B52" s="153"/>
      <c r="C52" s="154"/>
    </row>
    <row r="53" spans="1:5" x14ac:dyDescent="0.2">
      <c r="A53" s="152"/>
      <c r="B53" s="153"/>
      <c r="C53" s="154"/>
    </row>
    <row r="54" spans="1:5" x14ac:dyDescent="0.2">
      <c r="A54" s="152"/>
      <c r="B54" s="153"/>
      <c r="C54" s="154"/>
    </row>
    <row r="55" spans="1:5" x14ac:dyDescent="0.2">
      <c r="A55" s="152"/>
      <c r="B55" s="153"/>
      <c r="C55" s="154"/>
    </row>
    <row r="56" spans="1:5" x14ac:dyDescent="0.2">
      <c r="B56" s="153"/>
      <c r="C56" s="154"/>
    </row>
    <row r="57" spans="1:5" x14ac:dyDescent="0.2">
      <c r="B57" s="153"/>
      <c r="C57" s="154"/>
    </row>
    <row r="58" spans="1:5" x14ac:dyDescent="0.2">
      <c r="B58" s="153"/>
      <c r="C58" s="154"/>
    </row>
    <row r="59" spans="1:5" x14ac:dyDescent="0.2">
      <c r="B59" s="153"/>
      <c r="C59" s="154"/>
    </row>
    <row r="60" spans="1:5" x14ac:dyDescent="0.2">
      <c r="B60" s="153"/>
      <c r="C60" s="154"/>
    </row>
    <row r="61" spans="1:5" x14ac:dyDescent="0.2">
      <c r="B61" s="153"/>
      <c r="C61" s="154"/>
    </row>
    <row r="62" spans="1:5" x14ac:dyDescent="0.2">
      <c r="B62" s="153"/>
      <c r="C62" s="154"/>
    </row>
    <row r="63" spans="1:5" x14ac:dyDescent="0.2">
      <c r="B63" s="153"/>
      <c r="C63" s="154"/>
    </row>
    <row r="64" spans="1:5" x14ac:dyDescent="0.2">
      <c r="B64" s="153"/>
      <c r="C64" s="154"/>
    </row>
    <row r="65" spans="2:3" x14ac:dyDescent="0.2">
      <c r="B65" s="153"/>
      <c r="C65" s="154"/>
    </row>
    <row r="66" spans="2:3" x14ac:dyDescent="0.2">
      <c r="B66" s="153"/>
      <c r="C66" s="154"/>
    </row>
    <row r="67" spans="2:3" x14ac:dyDescent="0.2">
      <c r="B67" s="153"/>
      <c r="C67" s="154"/>
    </row>
    <row r="68" spans="2:3" x14ac:dyDescent="0.2">
      <c r="B68" s="153"/>
      <c r="C68" s="154"/>
    </row>
    <row r="69" spans="2:3" x14ac:dyDescent="0.2">
      <c r="B69" s="153"/>
      <c r="C69" s="154"/>
    </row>
    <row r="70" spans="2:3" x14ac:dyDescent="0.2">
      <c r="B70" s="153"/>
      <c r="C70" s="154"/>
    </row>
    <row r="71" spans="2:3" x14ac:dyDescent="0.2">
      <c r="B71" s="153"/>
      <c r="C71" s="154"/>
    </row>
    <row r="72" spans="2:3" x14ac:dyDescent="0.2">
      <c r="B72" s="153"/>
      <c r="C72" s="154"/>
    </row>
    <row r="73" spans="2:3" x14ac:dyDescent="0.2">
      <c r="B73" s="153"/>
      <c r="C73" s="154"/>
    </row>
    <row r="74" spans="2:3" x14ac:dyDescent="0.2">
      <c r="B74" s="153"/>
      <c r="C74" s="154"/>
    </row>
    <row r="75" spans="2:3" x14ac:dyDescent="0.2">
      <c r="B75" s="153"/>
      <c r="C75" s="154"/>
    </row>
    <row r="76" spans="2:3" x14ac:dyDescent="0.2">
      <c r="B76" s="153"/>
      <c r="C76" s="154"/>
    </row>
    <row r="77" spans="2:3" x14ac:dyDescent="0.2">
      <c r="B77" s="153"/>
      <c r="C77" s="154"/>
    </row>
    <row r="78" spans="2:3" x14ac:dyDescent="0.2">
      <c r="B78" s="153"/>
      <c r="C78" s="154"/>
    </row>
    <row r="79" spans="2:3" x14ac:dyDescent="0.2">
      <c r="B79" s="153"/>
      <c r="C79" s="154"/>
    </row>
  </sheetData>
  <mergeCells count="11">
    <mergeCell ref="A13:F13"/>
    <mergeCell ref="A30:F30"/>
    <mergeCell ref="D1:F1"/>
    <mergeCell ref="D4:F4"/>
    <mergeCell ref="A5:F5"/>
    <mergeCell ref="A6:F6"/>
    <mergeCell ref="A10:A11"/>
    <mergeCell ref="B10:B11"/>
    <mergeCell ref="C10:C11"/>
    <mergeCell ref="D10:D11"/>
    <mergeCell ref="E10:F10"/>
  </mergeCells>
  <printOptions horizontalCentered="1"/>
  <pageMargins left="1.1811023622047245" right="0.39370078740157483" top="0.78740157480314965" bottom="0.78740157480314965" header="0.35433070866141736" footer="0.19685039370078741"/>
  <pageSetup paperSize="9" scale="56" orientation="portrait" horizontalDpi="360" verticalDpi="360"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63"/>
  <sheetViews>
    <sheetView showZeros="0" view="pageBreakPreview" topLeftCell="F54" zoomScale="90" zoomScaleNormal="100" zoomScaleSheetLayoutView="90" workbookViewId="0">
      <selection activeCell="F160" sqref="F160"/>
    </sheetView>
  </sheetViews>
  <sheetFormatPr defaultColWidth="7.85546875" defaultRowHeight="12.75" x14ac:dyDescent="0.2"/>
  <cols>
    <col min="1" max="1" width="3.28515625" style="156" hidden="1" customWidth="1"/>
    <col min="2" max="2" width="11.42578125" style="156" customWidth="1"/>
    <col min="3" max="3" width="10.42578125" style="156" customWidth="1"/>
    <col min="4" max="4" width="10.7109375" style="156" customWidth="1"/>
    <col min="5" max="5" width="52.85546875" style="156" customWidth="1"/>
    <col min="6" max="7" width="14.42578125" style="156" customWidth="1"/>
    <col min="8" max="8" width="13.28515625" style="156" customWidth="1"/>
    <col min="9" max="9" width="10.85546875" style="156" customWidth="1"/>
    <col min="10" max="10" width="7.85546875" style="156" customWidth="1"/>
    <col min="11" max="11" width="13" style="227" customWidth="1"/>
    <col min="12" max="12" width="12.5703125" style="227" customWidth="1"/>
    <col min="13" max="13" width="11.28515625" style="227" hidden="1" customWidth="1"/>
    <col min="14" max="14" width="12.5703125" style="227" customWidth="1"/>
    <col min="15" max="15" width="9.5703125" style="227" customWidth="1"/>
    <col min="16" max="16" width="10" style="227" customWidth="1"/>
    <col min="17" max="17" width="12.5703125" style="227" customWidth="1"/>
    <col min="18" max="18" width="13.140625" style="156" customWidth="1"/>
    <col min="19" max="19" width="16.85546875" style="160" hidden="1" customWidth="1"/>
    <col min="20" max="25" width="0" style="160" hidden="1" customWidth="1"/>
    <col min="26" max="255" width="7.85546875" style="160"/>
    <col min="256" max="256" width="3.28515625" style="160" customWidth="1"/>
    <col min="257" max="257" width="10.28515625" style="160" customWidth="1"/>
    <col min="258" max="258" width="0" style="160" hidden="1" customWidth="1"/>
    <col min="259" max="259" width="19.5703125" style="160" customWidth="1"/>
    <col min="260" max="260" width="11.7109375" style="160" customWidth="1"/>
    <col min="261" max="261" width="48.42578125" style="160" customWidth="1"/>
    <col min="262" max="262" width="13.140625" style="160" customWidth="1"/>
    <col min="263" max="263" width="12.7109375" style="160" customWidth="1"/>
    <col min="264" max="264" width="11.42578125" style="160" customWidth="1"/>
    <col min="265" max="265" width="10.85546875" style="160" customWidth="1"/>
    <col min="266" max="266" width="7.85546875" style="160" customWidth="1"/>
    <col min="267" max="267" width="9.5703125" style="160" customWidth="1"/>
    <col min="268" max="268" width="9" style="160" customWidth="1"/>
    <col min="269" max="269" width="0" style="160" hidden="1" customWidth="1"/>
    <col min="270" max="270" width="10.5703125" style="160" customWidth="1"/>
    <col min="271" max="271" width="9.5703125" style="160" customWidth="1"/>
    <col min="272" max="272" width="10" style="160" customWidth="1"/>
    <col min="273" max="273" width="9.28515625" style="160" customWidth="1"/>
    <col min="274" max="274" width="11.5703125" style="160" customWidth="1"/>
    <col min="275" max="275" width="0" style="160" hidden="1" customWidth="1"/>
    <col min="276" max="511" width="7.85546875" style="160"/>
    <col min="512" max="512" width="3.28515625" style="160" customWidth="1"/>
    <col min="513" max="513" width="10.28515625" style="160" customWidth="1"/>
    <col min="514" max="514" width="0" style="160" hidden="1" customWidth="1"/>
    <col min="515" max="515" width="19.5703125" style="160" customWidth="1"/>
    <col min="516" max="516" width="11.7109375" style="160" customWidth="1"/>
    <col min="517" max="517" width="48.42578125" style="160" customWidth="1"/>
    <col min="518" max="518" width="13.140625" style="160" customWidth="1"/>
    <col min="519" max="519" width="12.7109375" style="160" customWidth="1"/>
    <col min="520" max="520" width="11.42578125" style="160" customWidth="1"/>
    <col min="521" max="521" width="10.85546875" style="160" customWidth="1"/>
    <col min="522" max="522" width="7.85546875" style="160" customWidth="1"/>
    <col min="523" max="523" width="9.5703125" style="160" customWidth="1"/>
    <col min="524" max="524" width="9" style="160" customWidth="1"/>
    <col min="525" max="525" width="0" style="160" hidden="1" customWidth="1"/>
    <col min="526" max="526" width="10.5703125" style="160" customWidth="1"/>
    <col min="527" max="527" width="9.5703125" style="160" customWidth="1"/>
    <col min="528" max="528" width="10" style="160" customWidth="1"/>
    <col min="529" max="529" width="9.28515625" style="160" customWidth="1"/>
    <col min="530" max="530" width="11.5703125" style="160" customWidth="1"/>
    <col min="531" max="531" width="0" style="160" hidden="1" customWidth="1"/>
    <col min="532" max="767" width="7.85546875" style="160"/>
    <col min="768" max="768" width="3.28515625" style="160" customWidth="1"/>
    <col min="769" max="769" width="10.28515625" style="160" customWidth="1"/>
    <col min="770" max="770" width="0" style="160" hidden="1" customWidth="1"/>
    <col min="771" max="771" width="19.5703125" style="160" customWidth="1"/>
    <col min="772" max="772" width="11.7109375" style="160" customWidth="1"/>
    <col min="773" max="773" width="48.42578125" style="160" customWidth="1"/>
    <col min="774" max="774" width="13.140625" style="160" customWidth="1"/>
    <col min="775" max="775" width="12.7109375" style="160" customWidth="1"/>
    <col min="776" max="776" width="11.42578125" style="160" customWidth="1"/>
    <col min="777" max="777" width="10.85546875" style="160" customWidth="1"/>
    <col min="778" max="778" width="7.85546875" style="160" customWidth="1"/>
    <col min="779" max="779" width="9.5703125" style="160" customWidth="1"/>
    <col min="780" max="780" width="9" style="160" customWidth="1"/>
    <col min="781" max="781" width="0" style="160" hidden="1" customWidth="1"/>
    <col min="782" max="782" width="10.5703125" style="160" customWidth="1"/>
    <col min="783" max="783" width="9.5703125" style="160" customWidth="1"/>
    <col min="784" max="784" width="10" style="160" customWidth="1"/>
    <col min="785" max="785" width="9.28515625" style="160" customWidth="1"/>
    <col min="786" max="786" width="11.5703125" style="160" customWidth="1"/>
    <col min="787" max="787" width="0" style="160" hidden="1" customWidth="1"/>
    <col min="788" max="1023" width="7.85546875" style="160"/>
    <col min="1024" max="1024" width="3.28515625" style="160" customWidth="1"/>
    <col min="1025" max="1025" width="10.28515625" style="160" customWidth="1"/>
    <col min="1026" max="1026" width="0" style="160" hidden="1" customWidth="1"/>
    <col min="1027" max="1027" width="19.5703125" style="160" customWidth="1"/>
    <col min="1028" max="1028" width="11.7109375" style="160" customWidth="1"/>
    <col min="1029" max="1029" width="48.42578125" style="160" customWidth="1"/>
    <col min="1030" max="1030" width="13.140625" style="160" customWidth="1"/>
    <col min="1031" max="1031" width="12.7109375" style="160" customWidth="1"/>
    <col min="1032" max="1032" width="11.42578125" style="160" customWidth="1"/>
    <col min="1033" max="1033" width="10.85546875" style="160" customWidth="1"/>
    <col min="1034" max="1034" width="7.85546875" style="160" customWidth="1"/>
    <col min="1035" max="1035" width="9.5703125" style="160" customWidth="1"/>
    <col min="1036" max="1036" width="9" style="160" customWidth="1"/>
    <col min="1037" max="1037" width="0" style="160" hidden="1" customWidth="1"/>
    <col min="1038" max="1038" width="10.5703125" style="160" customWidth="1"/>
    <col min="1039" max="1039" width="9.5703125" style="160" customWidth="1"/>
    <col min="1040" max="1040" width="10" style="160" customWidth="1"/>
    <col min="1041" max="1041" width="9.28515625" style="160" customWidth="1"/>
    <col min="1042" max="1042" width="11.5703125" style="160" customWidth="1"/>
    <col min="1043" max="1043" width="0" style="160" hidden="1" customWidth="1"/>
    <col min="1044" max="1279" width="7.85546875" style="160"/>
    <col min="1280" max="1280" width="3.28515625" style="160" customWidth="1"/>
    <col min="1281" max="1281" width="10.28515625" style="160" customWidth="1"/>
    <col min="1282" max="1282" width="0" style="160" hidden="1" customWidth="1"/>
    <col min="1283" max="1283" width="19.5703125" style="160" customWidth="1"/>
    <col min="1284" max="1284" width="11.7109375" style="160" customWidth="1"/>
    <col min="1285" max="1285" width="48.42578125" style="160" customWidth="1"/>
    <col min="1286" max="1286" width="13.140625" style="160" customWidth="1"/>
    <col min="1287" max="1287" width="12.7109375" style="160" customWidth="1"/>
    <col min="1288" max="1288" width="11.42578125" style="160" customWidth="1"/>
    <col min="1289" max="1289" width="10.85546875" style="160" customWidth="1"/>
    <col min="1290" max="1290" width="7.85546875" style="160" customWidth="1"/>
    <col min="1291" max="1291" width="9.5703125" style="160" customWidth="1"/>
    <col min="1292" max="1292" width="9" style="160" customWidth="1"/>
    <col min="1293" max="1293" width="0" style="160" hidden="1" customWidth="1"/>
    <col min="1294" max="1294" width="10.5703125" style="160" customWidth="1"/>
    <col min="1295" max="1295" width="9.5703125" style="160" customWidth="1"/>
    <col min="1296" max="1296" width="10" style="160" customWidth="1"/>
    <col min="1297" max="1297" width="9.28515625" style="160" customWidth="1"/>
    <col min="1298" max="1298" width="11.5703125" style="160" customWidth="1"/>
    <col min="1299" max="1299" width="0" style="160" hidden="1" customWidth="1"/>
    <col min="1300" max="1535" width="7.85546875" style="160"/>
    <col min="1536" max="1536" width="3.28515625" style="160" customWidth="1"/>
    <col min="1537" max="1537" width="10.28515625" style="160" customWidth="1"/>
    <col min="1538" max="1538" width="0" style="160" hidden="1" customWidth="1"/>
    <col min="1539" max="1539" width="19.5703125" style="160" customWidth="1"/>
    <col min="1540" max="1540" width="11.7109375" style="160" customWidth="1"/>
    <col min="1541" max="1541" width="48.42578125" style="160" customWidth="1"/>
    <col min="1542" max="1542" width="13.140625" style="160" customWidth="1"/>
    <col min="1543" max="1543" width="12.7109375" style="160" customWidth="1"/>
    <col min="1544" max="1544" width="11.42578125" style="160" customWidth="1"/>
    <col min="1545" max="1545" width="10.85546875" style="160" customWidth="1"/>
    <col min="1546" max="1546" width="7.85546875" style="160" customWidth="1"/>
    <col min="1547" max="1547" width="9.5703125" style="160" customWidth="1"/>
    <col min="1548" max="1548" width="9" style="160" customWidth="1"/>
    <col min="1549" max="1549" width="0" style="160" hidden="1" customWidth="1"/>
    <col min="1550" max="1550" width="10.5703125" style="160" customWidth="1"/>
    <col min="1551" max="1551" width="9.5703125" style="160" customWidth="1"/>
    <col min="1552" max="1552" width="10" style="160" customWidth="1"/>
    <col min="1553" max="1553" width="9.28515625" style="160" customWidth="1"/>
    <col min="1554" max="1554" width="11.5703125" style="160" customWidth="1"/>
    <col min="1555" max="1555" width="0" style="160" hidden="1" customWidth="1"/>
    <col min="1556" max="1791" width="7.85546875" style="160"/>
    <col min="1792" max="1792" width="3.28515625" style="160" customWidth="1"/>
    <col min="1793" max="1793" width="10.28515625" style="160" customWidth="1"/>
    <col min="1794" max="1794" width="0" style="160" hidden="1" customWidth="1"/>
    <col min="1795" max="1795" width="19.5703125" style="160" customWidth="1"/>
    <col min="1796" max="1796" width="11.7109375" style="160" customWidth="1"/>
    <col min="1797" max="1797" width="48.42578125" style="160" customWidth="1"/>
    <col min="1798" max="1798" width="13.140625" style="160" customWidth="1"/>
    <col min="1799" max="1799" width="12.7109375" style="160" customWidth="1"/>
    <col min="1800" max="1800" width="11.42578125" style="160" customWidth="1"/>
    <col min="1801" max="1801" width="10.85546875" style="160" customWidth="1"/>
    <col min="1802" max="1802" width="7.85546875" style="160" customWidth="1"/>
    <col min="1803" max="1803" width="9.5703125" style="160" customWidth="1"/>
    <col min="1804" max="1804" width="9" style="160" customWidth="1"/>
    <col min="1805" max="1805" width="0" style="160" hidden="1" customWidth="1"/>
    <col min="1806" max="1806" width="10.5703125" style="160" customWidth="1"/>
    <col min="1807" max="1807" width="9.5703125" style="160" customWidth="1"/>
    <col min="1808" max="1808" width="10" style="160" customWidth="1"/>
    <col min="1809" max="1809" width="9.28515625" style="160" customWidth="1"/>
    <col min="1810" max="1810" width="11.5703125" style="160" customWidth="1"/>
    <col min="1811" max="1811" width="0" style="160" hidden="1" customWidth="1"/>
    <col min="1812" max="2047" width="7.85546875" style="160"/>
    <col min="2048" max="2048" width="3.28515625" style="160" customWidth="1"/>
    <col min="2049" max="2049" width="10.28515625" style="160" customWidth="1"/>
    <col min="2050" max="2050" width="0" style="160" hidden="1" customWidth="1"/>
    <col min="2051" max="2051" width="19.5703125" style="160" customWidth="1"/>
    <col min="2052" max="2052" width="11.7109375" style="160" customWidth="1"/>
    <col min="2053" max="2053" width="48.42578125" style="160" customWidth="1"/>
    <col min="2054" max="2054" width="13.140625" style="160" customWidth="1"/>
    <col min="2055" max="2055" width="12.7109375" style="160" customWidth="1"/>
    <col min="2056" max="2056" width="11.42578125" style="160" customWidth="1"/>
    <col min="2057" max="2057" width="10.85546875" style="160" customWidth="1"/>
    <col min="2058" max="2058" width="7.85546875" style="160" customWidth="1"/>
    <col min="2059" max="2059" width="9.5703125" style="160" customWidth="1"/>
    <col min="2060" max="2060" width="9" style="160" customWidth="1"/>
    <col min="2061" max="2061" width="0" style="160" hidden="1" customWidth="1"/>
    <col min="2062" max="2062" width="10.5703125" style="160" customWidth="1"/>
    <col min="2063" max="2063" width="9.5703125" style="160" customWidth="1"/>
    <col min="2064" max="2064" width="10" style="160" customWidth="1"/>
    <col min="2065" max="2065" width="9.28515625" style="160" customWidth="1"/>
    <col min="2066" max="2066" width="11.5703125" style="160" customWidth="1"/>
    <col min="2067" max="2067" width="0" style="160" hidden="1" customWidth="1"/>
    <col min="2068" max="2303" width="7.85546875" style="160"/>
    <col min="2304" max="2304" width="3.28515625" style="160" customWidth="1"/>
    <col min="2305" max="2305" width="10.28515625" style="160" customWidth="1"/>
    <col min="2306" max="2306" width="0" style="160" hidden="1" customWidth="1"/>
    <col min="2307" max="2307" width="19.5703125" style="160" customWidth="1"/>
    <col min="2308" max="2308" width="11.7109375" style="160" customWidth="1"/>
    <col min="2309" max="2309" width="48.42578125" style="160" customWidth="1"/>
    <col min="2310" max="2310" width="13.140625" style="160" customWidth="1"/>
    <col min="2311" max="2311" width="12.7109375" style="160" customWidth="1"/>
    <col min="2312" max="2312" width="11.42578125" style="160" customWidth="1"/>
    <col min="2313" max="2313" width="10.85546875" style="160" customWidth="1"/>
    <col min="2314" max="2314" width="7.85546875" style="160" customWidth="1"/>
    <col min="2315" max="2315" width="9.5703125" style="160" customWidth="1"/>
    <col min="2316" max="2316" width="9" style="160" customWidth="1"/>
    <col min="2317" max="2317" width="0" style="160" hidden="1" customWidth="1"/>
    <col min="2318" max="2318" width="10.5703125" style="160" customWidth="1"/>
    <col min="2319" max="2319" width="9.5703125" style="160" customWidth="1"/>
    <col min="2320" max="2320" width="10" style="160" customWidth="1"/>
    <col min="2321" max="2321" width="9.28515625" style="160" customWidth="1"/>
    <col min="2322" max="2322" width="11.5703125" style="160" customWidth="1"/>
    <col min="2323" max="2323" width="0" style="160" hidden="1" customWidth="1"/>
    <col min="2324" max="2559" width="7.85546875" style="160"/>
    <col min="2560" max="2560" width="3.28515625" style="160" customWidth="1"/>
    <col min="2561" max="2561" width="10.28515625" style="160" customWidth="1"/>
    <col min="2562" max="2562" width="0" style="160" hidden="1" customWidth="1"/>
    <col min="2563" max="2563" width="19.5703125" style="160" customWidth="1"/>
    <col min="2564" max="2564" width="11.7109375" style="160" customWidth="1"/>
    <col min="2565" max="2565" width="48.42578125" style="160" customWidth="1"/>
    <col min="2566" max="2566" width="13.140625" style="160" customWidth="1"/>
    <col min="2567" max="2567" width="12.7109375" style="160" customWidth="1"/>
    <col min="2568" max="2568" width="11.42578125" style="160" customWidth="1"/>
    <col min="2569" max="2569" width="10.85546875" style="160" customWidth="1"/>
    <col min="2570" max="2570" width="7.85546875" style="160" customWidth="1"/>
    <col min="2571" max="2571" width="9.5703125" style="160" customWidth="1"/>
    <col min="2572" max="2572" width="9" style="160" customWidth="1"/>
    <col min="2573" max="2573" width="0" style="160" hidden="1" customWidth="1"/>
    <col min="2574" max="2574" width="10.5703125" style="160" customWidth="1"/>
    <col min="2575" max="2575" width="9.5703125" style="160" customWidth="1"/>
    <col min="2576" max="2576" width="10" style="160" customWidth="1"/>
    <col min="2577" max="2577" width="9.28515625" style="160" customWidth="1"/>
    <col min="2578" max="2578" width="11.5703125" style="160" customWidth="1"/>
    <col min="2579" max="2579" width="0" style="160" hidden="1" customWidth="1"/>
    <col min="2580" max="2815" width="7.85546875" style="160"/>
    <col min="2816" max="2816" width="3.28515625" style="160" customWidth="1"/>
    <col min="2817" max="2817" width="10.28515625" style="160" customWidth="1"/>
    <col min="2818" max="2818" width="0" style="160" hidden="1" customWidth="1"/>
    <col min="2819" max="2819" width="19.5703125" style="160" customWidth="1"/>
    <col min="2820" max="2820" width="11.7109375" style="160" customWidth="1"/>
    <col min="2821" max="2821" width="48.42578125" style="160" customWidth="1"/>
    <col min="2822" max="2822" width="13.140625" style="160" customWidth="1"/>
    <col min="2823" max="2823" width="12.7109375" style="160" customWidth="1"/>
    <col min="2824" max="2824" width="11.42578125" style="160" customWidth="1"/>
    <col min="2825" max="2825" width="10.85546875" style="160" customWidth="1"/>
    <col min="2826" max="2826" width="7.85546875" style="160" customWidth="1"/>
    <col min="2827" max="2827" width="9.5703125" style="160" customWidth="1"/>
    <col min="2828" max="2828" width="9" style="160" customWidth="1"/>
    <col min="2829" max="2829" width="0" style="160" hidden="1" customWidth="1"/>
    <col min="2830" max="2830" width="10.5703125" style="160" customWidth="1"/>
    <col min="2831" max="2831" width="9.5703125" style="160" customWidth="1"/>
    <col min="2832" max="2832" width="10" style="160" customWidth="1"/>
    <col min="2833" max="2833" width="9.28515625" style="160" customWidth="1"/>
    <col min="2834" max="2834" width="11.5703125" style="160" customWidth="1"/>
    <col min="2835" max="2835" width="0" style="160" hidden="1" customWidth="1"/>
    <col min="2836" max="3071" width="7.85546875" style="160"/>
    <col min="3072" max="3072" width="3.28515625" style="160" customWidth="1"/>
    <col min="3073" max="3073" width="10.28515625" style="160" customWidth="1"/>
    <col min="3074" max="3074" width="0" style="160" hidden="1" customWidth="1"/>
    <col min="3075" max="3075" width="19.5703125" style="160" customWidth="1"/>
    <col min="3076" max="3076" width="11.7109375" style="160" customWidth="1"/>
    <col min="3077" max="3077" width="48.42578125" style="160" customWidth="1"/>
    <col min="3078" max="3078" width="13.140625" style="160" customWidth="1"/>
    <col min="3079" max="3079" width="12.7109375" style="160" customWidth="1"/>
    <col min="3080" max="3080" width="11.42578125" style="160" customWidth="1"/>
    <col min="3081" max="3081" width="10.85546875" style="160" customWidth="1"/>
    <col min="3082" max="3082" width="7.85546875" style="160" customWidth="1"/>
    <col min="3083" max="3083" width="9.5703125" style="160" customWidth="1"/>
    <col min="3084" max="3084" width="9" style="160" customWidth="1"/>
    <col min="3085" max="3085" width="0" style="160" hidden="1" customWidth="1"/>
    <col min="3086" max="3086" width="10.5703125" style="160" customWidth="1"/>
    <col min="3087" max="3087" width="9.5703125" style="160" customWidth="1"/>
    <col min="3088" max="3088" width="10" style="160" customWidth="1"/>
    <col min="3089" max="3089" width="9.28515625" style="160" customWidth="1"/>
    <col min="3090" max="3090" width="11.5703125" style="160" customWidth="1"/>
    <col min="3091" max="3091" width="0" style="160" hidden="1" customWidth="1"/>
    <col min="3092" max="3327" width="7.85546875" style="160"/>
    <col min="3328" max="3328" width="3.28515625" style="160" customWidth="1"/>
    <col min="3329" max="3329" width="10.28515625" style="160" customWidth="1"/>
    <col min="3330" max="3330" width="0" style="160" hidden="1" customWidth="1"/>
    <col min="3331" max="3331" width="19.5703125" style="160" customWidth="1"/>
    <col min="3332" max="3332" width="11.7109375" style="160" customWidth="1"/>
    <col min="3333" max="3333" width="48.42578125" style="160" customWidth="1"/>
    <col min="3334" max="3334" width="13.140625" style="160" customWidth="1"/>
    <col min="3335" max="3335" width="12.7109375" style="160" customWidth="1"/>
    <col min="3336" max="3336" width="11.42578125" style="160" customWidth="1"/>
    <col min="3337" max="3337" width="10.85546875" style="160" customWidth="1"/>
    <col min="3338" max="3338" width="7.85546875" style="160" customWidth="1"/>
    <col min="3339" max="3339" width="9.5703125" style="160" customWidth="1"/>
    <col min="3340" max="3340" width="9" style="160" customWidth="1"/>
    <col min="3341" max="3341" width="0" style="160" hidden="1" customWidth="1"/>
    <col min="3342" max="3342" width="10.5703125" style="160" customWidth="1"/>
    <col min="3343" max="3343" width="9.5703125" style="160" customWidth="1"/>
    <col min="3344" max="3344" width="10" style="160" customWidth="1"/>
    <col min="3345" max="3345" width="9.28515625" style="160" customWidth="1"/>
    <col min="3346" max="3346" width="11.5703125" style="160" customWidth="1"/>
    <col min="3347" max="3347" width="0" style="160" hidden="1" customWidth="1"/>
    <col min="3348" max="3583" width="7.85546875" style="160"/>
    <col min="3584" max="3584" width="3.28515625" style="160" customWidth="1"/>
    <col min="3585" max="3585" width="10.28515625" style="160" customWidth="1"/>
    <col min="3586" max="3586" width="0" style="160" hidden="1" customWidth="1"/>
    <col min="3587" max="3587" width="19.5703125" style="160" customWidth="1"/>
    <col min="3588" max="3588" width="11.7109375" style="160" customWidth="1"/>
    <col min="3589" max="3589" width="48.42578125" style="160" customWidth="1"/>
    <col min="3590" max="3590" width="13.140625" style="160" customWidth="1"/>
    <col min="3591" max="3591" width="12.7109375" style="160" customWidth="1"/>
    <col min="3592" max="3592" width="11.42578125" style="160" customWidth="1"/>
    <col min="3593" max="3593" width="10.85546875" style="160" customWidth="1"/>
    <col min="3594" max="3594" width="7.85546875" style="160" customWidth="1"/>
    <col min="3595" max="3595" width="9.5703125" style="160" customWidth="1"/>
    <col min="3596" max="3596" width="9" style="160" customWidth="1"/>
    <col min="3597" max="3597" width="0" style="160" hidden="1" customWidth="1"/>
    <col min="3598" max="3598" width="10.5703125" style="160" customWidth="1"/>
    <col min="3599" max="3599" width="9.5703125" style="160" customWidth="1"/>
    <col min="3600" max="3600" width="10" style="160" customWidth="1"/>
    <col min="3601" max="3601" width="9.28515625" style="160" customWidth="1"/>
    <col min="3602" max="3602" width="11.5703125" style="160" customWidth="1"/>
    <col min="3603" max="3603" width="0" style="160" hidden="1" customWidth="1"/>
    <col min="3604" max="3839" width="7.85546875" style="160"/>
    <col min="3840" max="3840" width="3.28515625" style="160" customWidth="1"/>
    <col min="3841" max="3841" width="10.28515625" style="160" customWidth="1"/>
    <col min="3842" max="3842" width="0" style="160" hidden="1" customWidth="1"/>
    <col min="3843" max="3843" width="19.5703125" style="160" customWidth="1"/>
    <col min="3844" max="3844" width="11.7109375" style="160" customWidth="1"/>
    <col min="3845" max="3845" width="48.42578125" style="160" customWidth="1"/>
    <col min="3846" max="3846" width="13.140625" style="160" customWidth="1"/>
    <col min="3847" max="3847" width="12.7109375" style="160" customWidth="1"/>
    <col min="3848" max="3848" width="11.42578125" style="160" customWidth="1"/>
    <col min="3849" max="3849" width="10.85546875" style="160" customWidth="1"/>
    <col min="3850" max="3850" width="7.85546875" style="160" customWidth="1"/>
    <col min="3851" max="3851" width="9.5703125" style="160" customWidth="1"/>
    <col min="3852" max="3852" width="9" style="160" customWidth="1"/>
    <col min="3853" max="3853" width="0" style="160" hidden="1" customWidth="1"/>
    <col min="3854" max="3854" width="10.5703125" style="160" customWidth="1"/>
    <col min="3855" max="3855" width="9.5703125" style="160" customWidth="1"/>
    <col min="3856" max="3856" width="10" style="160" customWidth="1"/>
    <col min="3857" max="3857" width="9.28515625" style="160" customWidth="1"/>
    <col min="3858" max="3858" width="11.5703125" style="160" customWidth="1"/>
    <col min="3859" max="3859" width="0" style="160" hidden="1" customWidth="1"/>
    <col min="3860" max="4095" width="7.85546875" style="160"/>
    <col min="4096" max="4096" width="3.28515625" style="160" customWidth="1"/>
    <col min="4097" max="4097" width="10.28515625" style="160" customWidth="1"/>
    <col min="4098" max="4098" width="0" style="160" hidden="1" customWidth="1"/>
    <col min="4099" max="4099" width="19.5703125" style="160" customWidth="1"/>
    <col min="4100" max="4100" width="11.7109375" style="160" customWidth="1"/>
    <col min="4101" max="4101" width="48.42578125" style="160" customWidth="1"/>
    <col min="4102" max="4102" width="13.140625" style="160" customWidth="1"/>
    <col min="4103" max="4103" width="12.7109375" style="160" customWidth="1"/>
    <col min="4104" max="4104" width="11.42578125" style="160" customWidth="1"/>
    <col min="4105" max="4105" width="10.85546875" style="160" customWidth="1"/>
    <col min="4106" max="4106" width="7.85546875" style="160" customWidth="1"/>
    <col min="4107" max="4107" width="9.5703125" style="160" customWidth="1"/>
    <col min="4108" max="4108" width="9" style="160" customWidth="1"/>
    <col min="4109" max="4109" width="0" style="160" hidden="1" customWidth="1"/>
    <col min="4110" max="4110" width="10.5703125" style="160" customWidth="1"/>
    <col min="4111" max="4111" width="9.5703125" style="160" customWidth="1"/>
    <col min="4112" max="4112" width="10" style="160" customWidth="1"/>
    <col min="4113" max="4113" width="9.28515625" style="160" customWidth="1"/>
    <col min="4114" max="4114" width="11.5703125" style="160" customWidth="1"/>
    <col min="4115" max="4115" width="0" style="160" hidden="1" customWidth="1"/>
    <col min="4116" max="4351" width="7.85546875" style="160"/>
    <col min="4352" max="4352" width="3.28515625" style="160" customWidth="1"/>
    <col min="4353" max="4353" width="10.28515625" style="160" customWidth="1"/>
    <col min="4354" max="4354" width="0" style="160" hidden="1" customWidth="1"/>
    <col min="4355" max="4355" width="19.5703125" style="160" customWidth="1"/>
    <col min="4356" max="4356" width="11.7109375" style="160" customWidth="1"/>
    <col min="4357" max="4357" width="48.42578125" style="160" customWidth="1"/>
    <col min="4358" max="4358" width="13.140625" style="160" customWidth="1"/>
    <col min="4359" max="4359" width="12.7109375" style="160" customWidth="1"/>
    <col min="4360" max="4360" width="11.42578125" style="160" customWidth="1"/>
    <col min="4361" max="4361" width="10.85546875" style="160" customWidth="1"/>
    <col min="4362" max="4362" width="7.85546875" style="160" customWidth="1"/>
    <col min="4363" max="4363" width="9.5703125" style="160" customWidth="1"/>
    <col min="4364" max="4364" width="9" style="160" customWidth="1"/>
    <col min="4365" max="4365" width="0" style="160" hidden="1" customWidth="1"/>
    <col min="4366" max="4366" width="10.5703125" style="160" customWidth="1"/>
    <col min="4367" max="4367" width="9.5703125" style="160" customWidth="1"/>
    <col min="4368" max="4368" width="10" style="160" customWidth="1"/>
    <col min="4369" max="4369" width="9.28515625" style="160" customWidth="1"/>
    <col min="4370" max="4370" width="11.5703125" style="160" customWidth="1"/>
    <col min="4371" max="4371" width="0" style="160" hidden="1" customWidth="1"/>
    <col min="4372" max="4607" width="7.85546875" style="160"/>
    <col min="4608" max="4608" width="3.28515625" style="160" customWidth="1"/>
    <col min="4609" max="4609" width="10.28515625" style="160" customWidth="1"/>
    <col min="4610" max="4610" width="0" style="160" hidden="1" customWidth="1"/>
    <col min="4611" max="4611" width="19.5703125" style="160" customWidth="1"/>
    <col min="4612" max="4612" width="11.7109375" style="160" customWidth="1"/>
    <col min="4613" max="4613" width="48.42578125" style="160" customWidth="1"/>
    <col min="4614" max="4614" width="13.140625" style="160" customWidth="1"/>
    <col min="4615" max="4615" width="12.7109375" style="160" customWidth="1"/>
    <col min="4616" max="4616" width="11.42578125" style="160" customWidth="1"/>
    <col min="4617" max="4617" width="10.85546875" style="160" customWidth="1"/>
    <col min="4618" max="4618" width="7.85546875" style="160" customWidth="1"/>
    <col min="4619" max="4619" width="9.5703125" style="160" customWidth="1"/>
    <col min="4620" max="4620" width="9" style="160" customWidth="1"/>
    <col min="4621" max="4621" width="0" style="160" hidden="1" customWidth="1"/>
    <col min="4622" max="4622" width="10.5703125" style="160" customWidth="1"/>
    <col min="4623" max="4623" width="9.5703125" style="160" customWidth="1"/>
    <col min="4624" max="4624" width="10" style="160" customWidth="1"/>
    <col min="4625" max="4625" width="9.28515625" style="160" customWidth="1"/>
    <col min="4626" max="4626" width="11.5703125" style="160" customWidth="1"/>
    <col min="4627" max="4627" width="0" style="160" hidden="1" customWidth="1"/>
    <col min="4628" max="4863" width="7.85546875" style="160"/>
    <col min="4864" max="4864" width="3.28515625" style="160" customWidth="1"/>
    <col min="4865" max="4865" width="10.28515625" style="160" customWidth="1"/>
    <col min="4866" max="4866" width="0" style="160" hidden="1" customWidth="1"/>
    <col min="4867" max="4867" width="19.5703125" style="160" customWidth="1"/>
    <col min="4868" max="4868" width="11.7109375" style="160" customWidth="1"/>
    <col min="4869" max="4869" width="48.42578125" style="160" customWidth="1"/>
    <col min="4870" max="4870" width="13.140625" style="160" customWidth="1"/>
    <col min="4871" max="4871" width="12.7109375" style="160" customWidth="1"/>
    <col min="4872" max="4872" width="11.42578125" style="160" customWidth="1"/>
    <col min="4873" max="4873" width="10.85546875" style="160" customWidth="1"/>
    <col min="4874" max="4874" width="7.85546875" style="160" customWidth="1"/>
    <col min="4875" max="4875" width="9.5703125" style="160" customWidth="1"/>
    <col min="4876" max="4876" width="9" style="160" customWidth="1"/>
    <col min="4877" max="4877" width="0" style="160" hidden="1" customWidth="1"/>
    <col min="4878" max="4878" width="10.5703125" style="160" customWidth="1"/>
    <col min="4879" max="4879" width="9.5703125" style="160" customWidth="1"/>
    <col min="4880" max="4880" width="10" style="160" customWidth="1"/>
    <col min="4881" max="4881" width="9.28515625" style="160" customWidth="1"/>
    <col min="4882" max="4882" width="11.5703125" style="160" customWidth="1"/>
    <col min="4883" max="4883" width="0" style="160" hidden="1" customWidth="1"/>
    <col min="4884" max="5119" width="7.85546875" style="160"/>
    <col min="5120" max="5120" width="3.28515625" style="160" customWidth="1"/>
    <col min="5121" max="5121" width="10.28515625" style="160" customWidth="1"/>
    <col min="5122" max="5122" width="0" style="160" hidden="1" customWidth="1"/>
    <col min="5123" max="5123" width="19.5703125" style="160" customWidth="1"/>
    <col min="5124" max="5124" width="11.7109375" style="160" customWidth="1"/>
    <col min="5125" max="5125" width="48.42578125" style="160" customWidth="1"/>
    <col min="5126" max="5126" width="13.140625" style="160" customWidth="1"/>
    <col min="5127" max="5127" width="12.7109375" style="160" customWidth="1"/>
    <col min="5128" max="5128" width="11.42578125" style="160" customWidth="1"/>
    <col min="5129" max="5129" width="10.85546875" style="160" customWidth="1"/>
    <col min="5130" max="5130" width="7.85546875" style="160" customWidth="1"/>
    <col min="5131" max="5131" width="9.5703125" style="160" customWidth="1"/>
    <col min="5132" max="5132" width="9" style="160" customWidth="1"/>
    <col min="5133" max="5133" width="0" style="160" hidden="1" customWidth="1"/>
    <col min="5134" max="5134" width="10.5703125" style="160" customWidth="1"/>
    <col min="5135" max="5135" width="9.5703125" style="160" customWidth="1"/>
    <col min="5136" max="5136" width="10" style="160" customWidth="1"/>
    <col min="5137" max="5137" width="9.28515625" style="160" customWidth="1"/>
    <col min="5138" max="5138" width="11.5703125" style="160" customWidth="1"/>
    <col min="5139" max="5139" width="0" style="160" hidden="1" customWidth="1"/>
    <col min="5140" max="5375" width="7.85546875" style="160"/>
    <col min="5376" max="5376" width="3.28515625" style="160" customWidth="1"/>
    <col min="5377" max="5377" width="10.28515625" style="160" customWidth="1"/>
    <col min="5378" max="5378" width="0" style="160" hidden="1" customWidth="1"/>
    <col min="5379" max="5379" width="19.5703125" style="160" customWidth="1"/>
    <col min="5380" max="5380" width="11.7109375" style="160" customWidth="1"/>
    <col min="5381" max="5381" width="48.42578125" style="160" customWidth="1"/>
    <col min="5382" max="5382" width="13.140625" style="160" customWidth="1"/>
    <col min="5383" max="5383" width="12.7109375" style="160" customWidth="1"/>
    <col min="5384" max="5384" width="11.42578125" style="160" customWidth="1"/>
    <col min="5385" max="5385" width="10.85546875" style="160" customWidth="1"/>
    <col min="5386" max="5386" width="7.85546875" style="160" customWidth="1"/>
    <col min="5387" max="5387" width="9.5703125" style="160" customWidth="1"/>
    <col min="5388" max="5388" width="9" style="160" customWidth="1"/>
    <col min="5389" max="5389" width="0" style="160" hidden="1" customWidth="1"/>
    <col min="5390" max="5390" width="10.5703125" style="160" customWidth="1"/>
    <col min="5391" max="5391" width="9.5703125" style="160" customWidth="1"/>
    <col min="5392" max="5392" width="10" style="160" customWidth="1"/>
    <col min="5393" max="5393" width="9.28515625" style="160" customWidth="1"/>
    <col min="5394" max="5394" width="11.5703125" style="160" customWidth="1"/>
    <col min="5395" max="5395" width="0" style="160" hidden="1" customWidth="1"/>
    <col min="5396" max="5631" width="7.85546875" style="160"/>
    <col min="5632" max="5632" width="3.28515625" style="160" customWidth="1"/>
    <col min="5633" max="5633" width="10.28515625" style="160" customWidth="1"/>
    <col min="5634" max="5634" width="0" style="160" hidden="1" customWidth="1"/>
    <col min="5635" max="5635" width="19.5703125" style="160" customWidth="1"/>
    <col min="5636" max="5636" width="11.7109375" style="160" customWidth="1"/>
    <col min="5637" max="5637" width="48.42578125" style="160" customWidth="1"/>
    <col min="5638" max="5638" width="13.140625" style="160" customWidth="1"/>
    <col min="5639" max="5639" width="12.7109375" style="160" customWidth="1"/>
    <col min="5640" max="5640" width="11.42578125" style="160" customWidth="1"/>
    <col min="5641" max="5641" width="10.85546875" style="160" customWidth="1"/>
    <col min="5642" max="5642" width="7.85546875" style="160" customWidth="1"/>
    <col min="5643" max="5643" width="9.5703125" style="160" customWidth="1"/>
    <col min="5644" max="5644" width="9" style="160" customWidth="1"/>
    <col min="5645" max="5645" width="0" style="160" hidden="1" customWidth="1"/>
    <col min="5646" max="5646" width="10.5703125" style="160" customWidth="1"/>
    <col min="5647" max="5647" width="9.5703125" style="160" customWidth="1"/>
    <col min="5648" max="5648" width="10" style="160" customWidth="1"/>
    <col min="5649" max="5649" width="9.28515625" style="160" customWidth="1"/>
    <col min="5650" max="5650" width="11.5703125" style="160" customWidth="1"/>
    <col min="5651" max="5651" width="0" style="160" hidden="1" customWidth="1"/>
    <col min="5652" max="5887" width="7.85546875" style="160"/>
    <col min="5888" max="5888" width="3.28515625" style="160" customWidth="1"/>
    <col min="5889" max="5889" width="10.28515625" style="160" customWidth="1"/>
    <col min="5890" max="5890" width="0" style="160" hidden="1" customWidth="1"/>
    <col min="5891" max="5891" width="19.5703125" style="160" customWidth="1"/>
    <col min="5892" max="5892" width="11.7109375" style="160" customWidth="1"/>
    <col min="5893" max="5893" width="48.42578125" style="160" customWidth="1"/>
    <col min="5894" max="5894" width="13.140625" style="160" customWidth="1"/>
    <col min="5895" max="5895" width="12.7109375" style="160" customWidth="1"/>
    <col min="5896" max="5896" width="11.42578125" style="160" customWidth="1"/>
    <col min="5897" max="5897" width="10.85546875" style="160" customWidth="1"/>
    <col min="5898" max="5898" width="7.85546875" style="160" customWidth="1"/>
    <col min="5899" max="5899" width="9.5703125" style="160" customWidth="1"/>
    <col min="5900" max="5900" width="9" style="160" customWidth="1"/>
    <col min="5901" max="5901" width="0" style="160" hidden="1" customWidth="1"/>
    <col min="5902" max="5902" width="10.5703125" style="160" customWidth="1"/>
    <col min="5903" max="5903" width="9.5703125" style="160" customWidth="1"/>
    <col min="5904" max="5904" width="10" style="160" customWidth="1"/>
    <col min="5905" max="5905" width="9.28515625" style="160" customWidth="1"/>
    <col min="5906" max="5906" width="11.5703125" style="160" customWidth="1"/>
    <col min="5907" max="5907" width="0" style="160" hidden="1" customWidth="1"/>
    <col min="5908" max="6143" width="7.85546875" style="160"/>
    <col min="6144" max="6144" width="3.28515625" style="160" customWidth="1"/>
    <col min="6145" max="6145" width="10.28515625" style="160" customWidth="1"/>
    <col min="6146" max="6146" width="0" style="160" hidden="1" customWidth="1"/>
    <col min="6147" max="6147" width="19.5703125" style="160" customWidth="1"/>
    <col min="6148" max="6148" width="11.7109375" style="160" customWidth="1"/>
    <col min="6149" max="6149" width="48.42578125" style="160" customWidth="1"/>
    <col min="6150" max="6150" width="13.140625" style="160" customWidth="1"/>
    <col min="6151" max="6151" width="12.7109375" style="160" customWidth="1"/>
    <col min="6152" max="6152" width="11.42578125" style="160" customWidth="1"/>
    <col min="6153" max="6153" width="10.85546875" style="160" customWidth="1"/>
    <col min="6154" max="6154" width="7.85546875" style="160" customWidth="1"/>
    <col min="6155" max="6155" width="9.5703125" style="160" customWidth="1"/>
    <col min="6156" max="6156" width="9" style="160" customWidth="1"/>
    <col min="6157" max="6157" width="0" style="160" hidden="1" customWidth="1"/>
    <col min="6158" max="6158" width="10.5703125" style="160" customWidth="1"/>
    <col min="6159" max="6159" width="9.5703125" style="160" customWidth="1"/>
    <col min="6160" max="6160" width="10" style="160" customWidth="1"/>
    <col min="6161" max="6161" width="9.28515625" style="160" customWidth="1"/>
    <col min="6162" max="6162" width="11.5703125" style="160" customWidth="1"/>
    <col min="6163" max="6163" width="0" style="160" hidden="1" customWidth="1"/>
    <col min="6164" max="6399" width="7.85546875" style="160"/>
    <col min="6400" max="6400" width="3.28515625" style="160" customWidth="1"/>
    <col min="6401" max="6401" width="10.28515625" style="160" customWidth="1"/>
    <col min="6402" max="6402" width="0" style="160" hidden="1" customWidth="1"/>
    <col min="6403" max="6403" width="19.5703125" style="160" customWidth="1"/>
    <col min="6404" max="6404" width="11.7109375" style="160" customWidth="1"/>
    <col min="6405" max="6405" width="48.42578125" style="160" customWidth="1"/>
    <col min="6406" max="6406" width="13.140625" style="160" customWidth="1"/>
    <col min="6407" max="6407" width="12.7109375" style="160" customWidth="1"/>
    <col min="6408" max="6408" width="11.42578125" style="160" customWidth="1"/>
    <col min="6409" max="6409" width="10.85546875" style="160" customWidth="1"/>
    <col min="6410" max="6410" width="7.85546875" style="160" customWidth="1"/>
    <col min="6411" max="6411" width="9.5703125" style="160" customWidth="1"/>
    <col min="6412" max="6412" width="9" style="160" customWidth="1"/>
    <col min="6413" max="6413" width="0" style="160" hidden="1" customWidth="1"/>
    <col min="6414" max="6414" width="10.5703125" style="160" customWidth="1"/>
    <col min="6415" max="6415" width="9.5703125" style="160" customWidth="1"/>
    <col min="6416" max="6416" width="10" style="160" customWidth="1"/>
    <col min="6417" max="6417" width="9.28515625" style="160" customWidth="1"/>
    <col min="6418" max="6418" width="11.5703125" style="160" customWidth="1"/>
    <col min="6419" max="6419" width="0" style="160" hidden="1" customWidth="1"/>
    <col min="6420" max="6655" width="7.85546875" style="160"/>
    <col min="6656" max="6656" width="3.28515625" style="160" customWidth="1"/>
    <col min="6657" max="6657" width="10.28515625" style="160" customWidth="1"/>
    <col min="6658" max="6658" width="0" style="160" hidden="1" customWidth="1"/>
    <col min="6659" max="6659" width="19.5703125" style="160" customWidth="1"/>
    <col min="6660" max="6660" width="11.7109375" style="160" customWidth="1"/>
    <col min="6661" max="6661" width="48.42578125" style="160" customWidth="1"/>
    <col min="6662" max="6662" width="13.140625" style="160" customWidth="1"/>
    <col min="6663" max="6663" width="12.7109375" style="160" customWidth="1"/>
    <col min="6664" max="6664" width="11.42578125" style="160" customWidth="1"/>
    <col min="6665" max="6665" width="10.85546875" style="160" customWidth="1"/>
    <col min="6666" max="6666" width="7.85546875" style="160" customWidth="1"/>
    <col min="6667" max="6667" width="9.5703125" style="160" customWidth="1"/>
    <col min="6668" max="6668" width="9" style="160" customWidth="1"/>
    <col min="6669" max="6669" width="0" style="160" hidden="1" customWidth="1"/>
    <col min="6670" max="6670" width="10.5703125" style="160" customWidth="1"/>
    <col min="6671" max="6671" width="9.5703125" style="160" customWidth="1"/>
    <col min="6672" max="6672" width="10" style="160" customWidth="1"/>
    <col min="6673" max="6673" width="9.28515625" style="160" customWidth="1"/>
    <col min="6674" max="6674" width="11.5703125" style="160" customWidth="1"/>
    <col min="6675" max="6675" width="0" style="160" hidden="1" customWidth="1"/>
    <col min="6676" max="6911" width="7.85546875" style="160"/>
    <col min="6912" max="6912" width="3.28515625" style="160" customWidth="1"/>
    <col min="6913" max="6913" width="10.28515625" style="160" customWidth="1"/>
    <col min="6914" max="6914" width="0" style="160" hidden="1" customWidth="1"/>
    <col min="6915" max="6915" width="19.5703125" style="160" customWidth="1"/>
    <col min="6916" max="6916" width="11.7109375" style="160" customWidth="1"/>
    <col min="6917" max="6917" width="48.42578125" style="160" customWidth="1"/>
    <col min="6918" max="6918" width="13.140625" style="160" customWidth="1"/>
    <col min="6919" max="6919" width="12.7109375" style="160" customWidth="1"/>
    <col min="6920" max="6920" width="11.42578125" style="160" customWidth="1"/>
    <col min="6921" max="6921" width="10.85546875" style="160" customWidth="1"/>
    <col min="6922" max="6922" width="7.85546875" style="160" customWidth="1"/>
    <col min="6923" max="6923" width="9.5703125" style="160" customWidth="1"/>
    <col min="6924" max="6924" width="9" style="160" customWidth="1"/>
    <col min="6925" max="6925" width="0" style="160" hidden="1" customWidth="1"/>
    <col min="6926" max="6926" width="10.5703125" style="160" customWidth="1"/>
    <col min="6927" max="6927" width="9.5703125" style="160" customWidth="1"/>
    <col min="6928" max="6928" width="10" style="160" customWidth="1"/>
    <col min="6929" max="6929" width="9.28515625" style="160" customWidth="1"/>
    <col min="6930" max="6930" width="11.5703125" style="160" customWidth="1"/>
    <col min="6931" max="6931" width="0" style="160" hidden="1" customWidth="1"/>
    <col min="6932" max="7167" width="7.85546875" style="160"/>
    <col min="7168" max="7168" width="3.28515625" style="160" customWidth="1"/>
    <col min="7169" max="7169" width="10.28515625" style="160" customWidth="1"/>
    <col min="7170" max="7170" width="0" style="160" hidden="1" customWidth="1"/>
    <col min="7171" max="7171" width="19.5703125" style="160" customWidth="1"/>
    <col min="7172" max="7172" width="11.7109375" style="160" customWidth="1"/>
    <col min="7173" max="7173" width="48.42578125" style="160" customWidth="1"/>
    <col min="7174" max="7174" width="13.140625" style="160" customWidth="1"/>
    <col min="7175" max="7175" width="12.7109375" style="160" customWidth="1"/>
    <col min="7176" max="7176" width="11.42578125" style="160" customWidth="1"/>
    <col min="7177" max="7177" width="10.85546875" style="160" customWidth="1"/>
    <col min="7178" max="7178" width="7.85546875" style="160" customWidth="1"/>
    <col min="7179" max="7179" width="9.5703125" style="160" customWidth="1"/>
    <col min="7180" max="7180" width="9" style="160" customWidth="1"/>
    <col min="7181" max="7181" width="0" style="160" hidden="1" customWidth="1"/>
    <col min="7182" max="7182" width="10.5703125" style="160" customWidth="1"/>
    <col min="7183" max="7183" width="9.5703125" style="160" customWidth="1"/>
    <col min="7184" max="7184" width="10" style="160" customWidth="1"/>
    <col min="7185" max="7185" width="9.28515625" style="160" customWidth="1"/>
    <col min="7186" max="7186" width="11.5703125" style="160" customWidth="1"/>
    <col min="7187" max="7187" width="0" style="160" hidden="1" customWidth="1"/>
    <col min="7188" max="7423" width="7.85546875" style="160"/>
    <col min="7424" max="7424" width="3.28515625" style="160" customWidth="1"/>
    <col min="7425" max="7425" width="10.28515625" style="160" customWidth="1"/>
    <col min="7426" max="7426" width="0" style="160" hidden="1" customWidth="1"/>
    <col min="7427" max="7427" width="19.5703125" style="160" customWidth="1"/>
    <col min="7428" max="7428" width="11.7109375" style="160" customWidth="1"/>
    <col min="7429" max="7429" width="48.42578125" style="160" customWidth="1"/>
    <col min="7430" max="7430" width="13.140625" style="160" customWidth="1"/>
    <col min="7431" max="7431" width="12.7109375" style="160" customWidth="1"/>
    <col min="7432" max="7432" width="11.42578125" style="160" customWidth="1"/>
    <col min="7433" max="7433" width="10.85546875" style="160" customWidth="1"/>
    <col min="7434" max="7434" width="7.85546875" style="160" customWidth="1"/>
    <col min="7435" max="7435" width="9.5703125" style="160" customWidth="1"/>
    <col min="7436" max="7436" width="9" style="160" customWidth="1"/>
    <col min="7437" max="7437" width="0" style="160" hidden="1" customWidth="1"/>
    <col min="7438" max="7438" width="10.5703125" style="160" customWidth="1"/>
    <col min="7439" max="7439" width="9.5703125" style="160" customWidth="1"/>
    <col min="7440" max="7440" width="10" style="160" customWidth="1"/>
    <col min="7441" max="7441" width="9.28515625" style="160" customWidth="1"/>
    <col min="7442" max="7442" width="11.5703125" style="160" customWidth="1"/>
    <col min="7443" max="7443" width="0" style="160" hidden="1" customWidth="1"/>
    <col min="7444" max="7679" width="7.85546875" style="160"/>
    <col min="7680" max="7680" width="3.28515625" style="160" customWidth="1"/>
    <col min="7681" max="7681" width="10.28515625" style="160" customWidth="1"/>
    <col min="7682" max="7682" width="0" style="160" hidden="1" customWidth="1"/>
    <col min="7683" max="7683" width="19.5703125" style="160" customWidth="1"/>
    <col min="7684" max="7684" width="11.7109375" style="160" customWidth="1"/>
    <col min="7685" max="7685" width="48.42578125" style="160" customWidth="1"/>
    <col min="7686" max="7686" width="13.140625" style="160" customWidth="1"/>
    <col min="7687" max="7687" width="12.7109375" style="160" customWidth="1"/>
    <col min="7688" max="7688" width="11.42578125" style="160" customWidth="1"/>
    <col min="7689" max="7689" width="10.85546875" style="160" customWidth="1"/>
    <col min="7690" max="7690" width="7.85546875" style="160" customWidth="1"/>
    <col min="7691" max="7691" width="9.5703125" style="160" customWidth="1"/>
    <col min="7692" max="7692" width="9" style="160" customWidth="1"/>
    <col min="7693" max="7693" width="0" style="160" hidden="1" customWidth="1"/>
    <col min="7694" max="7694" width="10.5703125" style="160" customWidth="1"/>
    <col min="7695" max="7695" width="9.5703125" style="160" customWidth="1"/>
    <col min="7696" max="7696" width="10" style="160" customWidth="1"/>
    <col min="7697" max="7697" width="9.28515625" style="160" customWidth="1"/>
    <col min="7698" max="7698" width="11.5703125" style="160" customWidth="1"/>
    <col min="7699" max="7699" width="0" style="160" hidden="1" customWidth="1"/>
    <col min="7700" max="7935" width="7.85546875" style="160"/>
    <col min="7936" max="7936" width="3.28515625" style="160" customWidth="1"/>
    <col min="7937" max="7937" width="10.28515625" style="160" customWidth="1"/>
    <col min="7938" max="7938" width="0" style="160" hidden="1" customWidth="1"/>
    <col min="7939" max="7939" width="19.5703125" style="160" customWidth="1"/>
    <col min="7940" max="7940" width="11.7109375" style="160" customWidth="1"/>
    <col min="7941" max="7941" width="48.42578125" style="160" customWidth="1"/>
    <col min="7942" max="7942" width="13.140625" style="160" customWidth="1"/>
    <col min="7943" max="7943" width="12.7109375" style="160" customWidth="1"/>
    <col min="7944" max="7944" width="11.42578125" style="160" customWidth="1"/>
    <col min="7945" max="7945" width="10.85546875" style="160" customWidth="1"/>
    <col min="7946" max="7946" width="7.85546875" style="160" customWidth="1"/>
    <col min="7947" max="7947" width="9.5703125" style="160" customWidth="1"/>
    <col min="7948" max="7948" width="9" style="160" customWidth="1"/>
    <col min="7949" max="7949" width="0" style="160" hidden="1" customWidth="1"/>
    <col min="7950" max="7950" width="10.5703125" style="160" customWidth="1"/>
    <col min="7951" max="7951" width="9.5703125" style="160" customWidth="1"/>
    <col min="7952" max="7952" width="10" style="160" customWidth="1"/>
    <col min="7953" max="7953" width="9.28515625" style="160" customWidth="1"/>
    <col min="7954" max="7954" width="11.5703125" style="160" customWidth="1"/>
    <col min="7955" max="7955" width="0" style="160" hidden="1" customWidth="1"/>
    <col min="7956" max="8191" width="7.85546875" style="160"/>
    <col min="8192" max="8192" width="3.28515625" style="160" customWidth="1"/>
    <col min="8193" max="8193" width="10.28515625" style="160" customWidth="1"/>
    <col min="8194" max="8194" width="0" style="160" hidden="1" customWidth="1"/>
    <col min="8195" max="8195" width="19.5703125" style="160" customWidth="1"/>
    <col min="8196" max="8196" width="11.7109375" style="160" customWidth="1"/>
    <col min="8197" max="8197" width="48.42578125" style="160" customWidth="1"/>
    <col min="8198" max="8198" width="13.140625" style="160" customWidth="1"/>
    <col min="8199" max="8199" width="12.7109375" style="160" customWidth="1"/>
    <col min="8200" max="8200" width="11.42578125" style="160" customWidth="1"/>
    <col min="8201" max="8201" width="10.85546875" style="160" customWidth="1"/>
    <col min="8202" max="8202" width="7.85546875" style="160" customWidth="1"/>
    <col min="8203" max="8203" width="9.5703125" style="160" customWidth="1"/>
    <col min="8204" max="8204" width="9" style="160" customWidth="1"/>
    <col min="8205" max="8205" width="0" style="160" hidden="1" customWidth="1"/>
    <col min="8206" max="8206" width="10.5703125" style="160" customWidth="1"/>
    <col min="8207" max="8207" width="9.5703125" style="160" customWidth="1"/>
    <col min="8208" max="8208" width="10" style="160" customWidth="1"/>
    <col min="8209" max="8209" width="9.28515625" style="160" customWidth="1"/>
    <col min="8210" max="8210" width="11.5703125" style="160" customWidth="1"/>
    <col min="8211" max="8211" width="0" style="160" hidden="1" customWidth="1"/>
    <col min="8212" max="8447" width="7.85546875" style="160"/>
    <col min="8448" max="8448" width="3.28515625" style="160" customWidth="1"/>
    <col min="8449" max="8449" width="10.28515625" style="160" customWidth="1"/>
    <col min="8450" max="8450" width="0" style="160" hidden="1" customWidth="1"/>
    <col min="8451" max="8451" width="19.5703125" style="160" customWidth="1"/>
    <col min="8452" max="8452" width="11.7109375" style="160" customWidth="1"/>
    <col min="8453" max="8453" width="48.42578125" style="160" customWidth="1"/>
    <col min="8454" max="8454" width="13.140625" style="160" customWidth="1"/>
    <col min="8455" max="8455" width="12.7109375" style="160" customWidth="1"/>
    <col min="8456" max="8456" width="11.42578125" style="160" customWidth="1"/>
    <col min="8457" max="8457" width="10.85546875" style="160" customWidth="1"/>
    <col min="8458" max="8458" width="7.85546875" style="160" customWidth="1"/>
    <col min="8459" max="8459" width="9.5703125" style="160" customWidth="1"/>
    <col min="8460" max="8460" width="9" style="160" customWidth="1"/>
    <col min="8461" max="8461" width="0" style="160" hidden="1" customWidth="1"/>
    <col min="8462" max="8462" width="10.5703125" style="160" customWidth="1"/>
    <col min="8463" max="8463" width="9.5703125" style="160" customWidth="1"/>
    <col min="8464" max="8464" width="10" style="160" customWidth="1"/>
    <col min="8465" max="8465" width="9.28515625" style="160" customWidth="1"/>
    <col min="8466" max="8466" width="11.5703125" style="160" customWidth="1"/>
    <col min="8467" max="8467" width="0" style="160" hidden="1" customWidth="1"/>
    <col min="8468" max="8703" width="7.85546875" style="160"/>
    <col min="8704" max="8704" width="3.28515625" style="160" customWidth="1"/>
    <col min="8705" max="8705" width="10.28515625" style="160" customWidth="1"/>
    <col min="8706" max="8706" width="0" style="160" hidden="1" customWidth="1"/>
    <col min="8707" max="8707" width="19.5703125" style="160" customWidth="1"/>
    <col min="8708" max="8708" width="11.7109375" style="160" customWidth="1"/>
    <col min="8709" max="8709" width="48.42578125" style="160" customWidth="1"/>
    <col min="8710" max="8710" width="13.140625" style="160" customWidth="1"/>
    <col min="8711" max="8711" width="12.7109375" style="160" customWidth="1"/>
    <col min="8712" max="8712" width="11.42578125" style="160" customWidth="1"/>
    <col min="8713" max="8713" width="10.85546875" style="160" customWidth="1"/>
    <col min="8714" max="8714" width="7.85546875" style="160" customWidth="1"/>
    <col min="8715" max="8715" width="9.5703125" style="160" customWidth="1"/>
    <col min="8716" max="8716" width="9" style="160" customWidth="1"/>
    <col min="8717" max="8717" width="0" style="160" hidden="1" customWidth="1"/>
    <col min="8718" max="8718" width="10.5703125" style="160" customWidth="1"/>
    <col min="8719" max="8719" width="9.5703125" style="160" customWidth="1"/>
    <col min="8720" max="8720" width="10" style="160" customWidth="1"/>
    <col min="8721" max="8721" width="9.28515625" style="160" customWidth="1"/>
    <col min="8722" max="8722" width="11.5703125" style="160" customWidth="1"/>
    <col min="8723" max="8723" width="0" style="160" hidden="1" customWidth="1"/>
    <col min="8724" max="8959" width="7.85546875" style="160"/>
    <col min="8960" max="8960" width="3.28515625" style="160" customWidth="1"/>
    <col min="8961" max="8961" width="10.28515625" style="160" customWidth="1"/>
    <col min="8962" max="8962" width="0" style="160" hidden="1" customWidth="1"/>
    <col min="8963" max="8963" width="19.5703125" style="160" customWidth="1"/>
    <col min="8964" max="8964" width="11.7109375" style="160" customWidth="1"/>
    <col min="8965" max="8965" width="48.42578125" style="160" customWidth="1"/>
    <col min="8966" max="8966" width="13.140625" style="160" customWidth="1"/>
    <col min="8967" max="8967" width="12.7109375" style="160" customWidth="1"/>
    <col min="8968" max="8968" width="11.42578125" style="160" customWidth="1"/>
    <col min="8969" max="8969" width="10.85546875" style="160" customWidth="1"/>
    <col min="8970" max="8970" width="7.85546875" style="160" customWidth="1"/>
    <col min="8971" max="8971" width="9.5703125" style="160" customWidth="1"/>
    <col min="8972" max="8972" width="9" style="160" customWidth="1"/>
    <col min="8973" max="8973" width="0" style="160" hidden="1" customWidth="1"/>
    <col min="8974" max="8974" width="10.5703125" style="160" customWidth="1"/>
    <col min="8975" max="8975" width="9.5703125" style="160" customWidth="1"/>
    <col min="8976" max="8976" width="10" style="160" customWidth="1"/>
    <col min="8977" max="8977" width="9.28515625" style="160" customWidth="1"/>
    <col min="8978" max="8978" width="11.5703125" style="160" customWidth="1"/>
    <col min="8979" max="8979" width="0" style="160" hidden="1" customWidth="1"/>
    <col min="8980" max="9215" width="7.85546875" style="160"/>
    <col min="9216" max="9216" width="3.28515625" style="160" customWidth="1"/>
    <col min="9217" max="9217" width="10.28515625" style="160" customWidth="1"/>
    <col min="9218" max="9218" width="0" style="160" hidden="1" customWidth="1"/>
    <col min="9219" max="9219" width="19.5703125" style="160" customWidth="1"/>
    <col min="9220" max="9220" width="11.7109375" style="160" customWidth="1"/>
    <col min="9221" max="9221" width="48.42578125" style="160" customWidth="1"/>
    <col min="9222" max="9222" width="13.140625" style="160" customWidth="1"/>
    <col min="9223" max="9223" width="12.7109375" style="160" customWidth="1"/>
    <col min="9224" max="9224" width="11.42578125" style="160" customWidth="1"/>
    <col min="9225" max="9225" width="10.85546875" style="160" customWidth="1"/>
    <col min="9226" max="9226" width="7.85546875" style="160" customWidth="1"/>
    <col min="9227" max="9227" width="9.5703125" style="160" customWidth="1"/>
    <col min="9228" max="9228" width="9" style="160" customWidth="1"/>
    <col min="9229" max="9229" width="0" style="160" hidden="1" customWidth="1"/>
    <col min="9230" max="9230" width="10.5703125" style="160" customWidth="1"/>
    <col min="9231" max="9231" width="9.5703125" style="160" customWidth="1"/>
    <col min="9232" max="9232" width="10" style="160" customWidth="1"/>
    <col min="9233" max="9233" width="9.28515625" style="160" customWidth="1"/>
    <col min="9234" max="9234" width="11.5703125" style="160" customWidth="1"/>
    <col min="9235" max="9235" width="0" style="160" hidden="1" customWidth="1"/>
    <col min="9236" max="9471" width="7.85546875" style="160"/>
    <col min="9472" max="9472" width="3.28515625" style="160" customWidth="1"/>
    <col min="9473" max="9473" width="10.28515625" style="160" customWidth="1"/>
    <col min="9474" max="9474" width="0" style="160" hidden="1" customWidth="1"/>
    <col min="9475" max="9475" width="19.5703125" style="160" customWidth="1"/>
    <col min="9476" max="9476" width="11.7109375" style="160" customWidth="1"/>
    <col min="9477" max="9477" width="48.42578125" style="160" customWidth="1"/>
    <col min="9478" max="9478" width="13.140625" style="160" customWidth="1"/>
    <col min="9479" max="9479" width="12.7109375" style="160" customWidth="1"/>
    <col min="9480" max="9480" width="11.42578125" style="160" customWidth="1"/>
    <col min="9481" max="9481" width="10.85546875" style="160" customWidth="1"/>
    <col min="9482" max="9482" width="7.85546875" style="160" customWidth="1"/>
    <col min="9483" max="9483" width="9.5703125" style="160" customWidth="1"/>
    <col min="9484" max="9484" width="9" style="160" customWidth="1"/>
    <col min="9485" max="9485" width="0" style="160" hidden="1" customWidth="1"/>
    <col min="9486" max="9486" width="10.5703125" style="160" customWidth="1"/>
    <col min="9487" max="9487" width="9.5703125" style="160" customWidth="1"/>
    <col min="9488" max="9488" width="10" style="160" customWidth="1"/>
    <col min="9489" max="9489" width="9.28515625" style="160" customWidth="1"/>
    <col min="9490" max="9490" width="11.5703125" style="160" customWidth="1"/>
    <col min="9491" max="9491" width="0" style="160" hidden="1" customWidth="1"/>
    <col min="9492" max="9727" width="7.85546875" style="160"/>
    <col min="9728" max="9728" width="3.28515625" style="160" customWidth="1"/>
    <col min="9729" max="9729" width="10.28515625" style="160" customWidth="1"/>
    <col min="9730" max="9730" width="0" style="160" hidden="1" customWidth="1"/>
    <col min="9731" max="9731" width="19.5703125" style="160" customWidth="1"/>
    <col min="9732" max="9732" width="11.7109375" style="160" customWidth="1"/>
    <col min="9733" max="9733" width="48.42578125" style="160" customWidth="1"/>
    <col min="9734" max="9734" width="13.140625" style="160" customWidth="1"/>
    <col min="9735" max="9735" width="12.7109375" style="160" customWidth="1"/>
    <col min="9736" max="9736" width="11.42578125" style="160" customWidth="1"/>
    <col min="9737" max="9737" width="10.85546875" style="160" customWidth="1"/>
    <col min="9738" max="9738" width="7.85546875" style="160" customWidth="1"/>
    <col min="9739" max="9739" width="9.5703125" style="160" customWidth="1"/>
    <col min="9740" max="9740" width="9" style="160" customWidth="1"/>
    <col min="9741" max="9741" width="0" style="160" hidden="1" customWidth="1"/>
    <col min="9742" max="9742" width="10.5703125" style="160" customWidth="1"/>
    <col min="9743" max="9743" width="9.5703125" style="160" customWidth="1"/>
    <col min="9744" max="9744" width="10" style="160" customWidth="1"/>
    <col min="9745" max="9745" width="9.28515625" style="160" customWidth="1"/>
    <col min="9746" max="9746" width="11.5703125" style="160" customWidth="1"/>
    <col min="9747" max="9747" width="0" style="160" hidden="1" customWidth="1"/>
    <col min="9748" max="9983" width="7.85546875" style="160"/>
    <col min="9984" max="9984" width="3.28515625" style="160" customWidth="1"/>
    <col min="9985" max="9985" width="10.28515625" style="160" customWidth="1"/>
    <col min="9986" max="9986" width="0" style="160" hidden="1" customWidth="1"/>
    <col min="9987" max="9987" width="19.5703125" style="160" customWidth="1"/>
    <col min="9988" max="9988" width="11.7109375" style="160" customWidth="1"/>
    <col min="9989" max="9989" width="48.42578125" style="160" customWidth="1"/>
    <col min="9990" max="9990" width="13.140625" style="160" customWidth="1"/>
    <col min="9991" max="9991" width="12.7109375" style="160" customWidth="1"/>
    <col min="9992" max="9992" width="11.42578125" style="160" customWidth="1"/>
    <col min="9993" max="9993" width="10.85546875" style="160" customWidth="1"/>
    <col min="9994" max="9994" width="7.85546875" style="160" customWidth="1"/>
    <col min="9995" max="9995" width="9.5703125" style="160" customWidth="1"/>
    <col min="9996" max="9996" width="9" style="160" customWidth="1"/>
    <col min="9997" max="9997" width="0" style="160" hidden="1" customWidth="1"/>
    <col min="9998" max="9998" width="10.5703125" style="160" customWidth="1"/>
    <col min="9999" max="9999" width="9.5703125" style="160" customWidth="1"/>
    <col min="10000" max="10000" width="10" style="160" customWidth="1"/>
    <col min="10001" max="10001" width="9.28515625" style="160" customWidth="1"/>
    <col min="10002" max="10002" width="11.5703125" style="160" customWidth="1"/>
    <col min="10003" max="10003" width="0" style="160" hidden="1" customWidth="1"/>
    <col min="10004" max="10239" width="7.85546875" style="160"/>
    <col min="10240" max="10240" width="3.28515625" style="160" customWidth="1"/>
    <col min="10241" max="10241" width="10.28515625" style="160" customWidth="1"/>
    <col min="10242" max="10242" width="0" style="160" hidden="1" customWidth="1"/>
    <col min="10243" max="10243" width="19.5703125" style="160" customWidth="1"/>
    <col min="10244" max="10244" width="11.7109375" style="160" customWidth="1"/>
    <col min="10245" max="10245" width="48.42578125" style="160" customWidth="1"/>
    <col min="10246" max="10246" width="13.140625" style="160" customWidth="1"/>
    <col min="10247" max="10247" width="12.7109375" style="160" customWidth="1"/>
    <col min="10248" max="10248" width="11.42578125" style="160" customWidth="1"/>
    <col min="10249" max="10249" width="10.85546875" style="160" customWidth="1"/>
    <col min="10250" max="10250" width="7.85546875" style="160" customWidth="1"/>
    <col min="10251" max="10251" width="9.5703125" style="160" customWidth="1"/>
    <col min="10252" max="10252" width="9" style="160" customWidth="1"/>
    <col min="10253" max="10253" width="0" style="160" hidden="1" customWidth="1"/>
    <col min="10254" max="10254" width="10.5703125" style="160" customWidth="1"/>
    <col min="10255" max="10255" width="9.5703125" style="160" customWidth="1"/>
    <col min="10256" max="10256" width="10" style="160" customWidth="1"/>
    <col min="10257" max="10257" width="9.28515625" style="160" customWidth="1"/>
    <col min="10258" max="10258" width="11.5703125" style="160" customWidth="1"/>
    <col min="10259" max="10259" width="0" style="160" hidden="1" customWidth="1"/>
    <col min="10260" max="10495" width="7.85546875" style="160"/>
    <col min="10496" max="10496" width="3.28515625" style="160" customWidth="1"/>
    <col min="10497" max="10497" width="10.28515625" style="160" customWidth="1"/>
    <col min="10498" max="10498" width="0" style="160" hidden="1" customWidth="1"/>
    <col min="10499" max="10499" width="19.5703125" style="160" customWidth="1"/>
    <col min="10500" max="10500" width="11.7109375" style="160" customWidth="1"/>
    <col min="10501" max="10501" width="48.42578125" style="160" customWidth="1"/>
    <col min="10502" max="10502" width="13.140625" style="160" customWidth="1"/>
    <col min="10503" max="10503" width="12.7109375" style="160" customWidth="1"/>
    <col min="10504" max="10504" width="11.42578125" style="160" customWidth="1"/>
    <col min="10505" max="10505" width="10.85546875" style="160" customWidth="1"/>
    <col min="10506" max="10506" width="7.85546875" style="160" customWidth="1"/>
    <col min="10507" max="10507" width="9.5703125" style="160" customWidth="1"/>
    <col min="10508" max="10508" width="9" style="160" customWidth="1"/>
    <col min="10509" max="10509" width="0" style="160" hidden="1" customWidth="1"/>
    <col min="10510" max="10510" width="10.5703125" style="160" customWidth="1"/>
    <col min="10511" max="10511" width="9.5703125" style="160" customWidth="1"/>
    <col min="10512" max="10512" width="10" style="160" customWidth="1"/>
    <col min="10513" max="10513" width="9.28515625" style="160" customWidth="1"/>
    <col min="10514" max="10514" width="11.5703125" style="160" customWidth="1"/>
    <col min="10515" max="10515" width="0" style="160" hidden="1" customWidth="1"/>
    <col min="10516" max="10751" width="7.85546875" style="160"/>
    <col min="10752" max="10752" width="3.28515625" style="160" customWidth="1"/>
    <col min="10753" max="10753" width="10.28515625" style="160" customWidth="1"/>
    <col min="10754" max="10754" width="0" style="160" hidden="1" customWidth="1"/>
    <col min="10755" max="10755" width="19.5703125" style="160" customWidth="1"/>
    <col min="10756" max="10756" width="11.7109375" style="160" customWidth="1"/>
    <col min="10757" max="10757" width="48.42578125" style="160" customWidth="1"/>
    <col min="10758" max="10758" width="13.140625" style="160" customWidth="1"/>
    <col min="10759" max="10759" width="12.7109375" style="160" customWidth="1"/>
    <col min="10760" max="10760" width="11.42578125" style="160" customWidth="1"/>
    <col min="10761" max="10761" width="10.85546875" style="160" customWidth="1"/>
    <col min="10762" max="10762" width="7.85546875" style="160" customWidth="1"/>
    <col min="10763" max="10763" width="9.5703125" style="160" customWidth="1"/>
    <col min="10764" max="10764" width="9" style="160" customWidth="1"/>
    <col min="10765" max="10765" width="0" style="160" hidden="1" customWidth="1"/>
    <col min="10766" max="10766" width="10.5703125" style="160" customWidth="1"/>
    <col min="10767" max="10767" width="9.5703125" style="160" customWidth="1"/>
    <col min="10768" max="10768" width="10" style="160" customWidth="1"/>
    <col min="10769" max="10769" width="9.28515625" style="160" customWidth="1"/>
    <col min="10770" max="10770" width="11.5703125" style="160" customWidth="1"/>
    <col min="10771" max="10771" width="0" style="160" hidden="1" customWidth="1"/>
    <col min="10772" max="11007" width="7.85546875" style="160"/>
    <col min="11008" max="11008" width="3.28515625" style="160" customWidth="1"/>
    <col min="11009" max="11009" width="10.28515625" style="160" customWidth="1"/>
    <col min="11010" max="11010" width="0" style="160" hidden="1" customWidth="1"/>
    <col min="11011" max="11011" width="19.5703125" style="160" customWidth="1"/>
    <col min="11012" max="11012" width="11.7109375" style="160" customWidth="1"/>
    <col min="11013" max="11013" width="48.42578125" style="160" customWidth="1"/>
    <col min="11014" max="11014" width="13.140625" style="160" customWidth="1"/>
    <col min="11015" max="11015" width="12.7109375" style="160" customWidth="1"/>
    <col min="11016" max="11016" width="11.42578125" style="160" customWidth="1"/>
    <col min="11017" max="11017" width="10.85546875" style="160" customWidth="1"/>
    <col min="11018" max="11018" width="7.85546875" style="160" customWidth="1"/>
    <col min="11019" max="11019" width="9.5703125" style="160" customWidth="1"/>
    <col min="11020" max="11020" width="9" style="160" customWidth="1"/>
    <col min="11021" max="11021" width="0" style="160" hidden="1" customWidth="1"/>
    <col min="11022" max="11022" width="10.5703125" style="160" customWidth="1"/>
    <col min="11023" max="11023" width="9.5703125" style="160" customWidth="1"/>
    <col min="11024" max="11024" width="10" style="160" customWidth="1"/>
    <col min="11025" max="11025" width="9.28515625" style="160" customWidth="1"/>
    <col min="11026" max="11026" width="11.5703125" style="160" customWidth="1"/>
    <col min="11027" max="11027" width="0" style="160" hidden="1" customWidth="1"/>
    <col min="11028" max="11263" width="7.85546875" style="160"/>
    <col min="11264" max="11264" width="3.28515625" style="160" customWidth="1"/>
    <col min="11265" max="11265" width="10.28515625" style="160" customWidth="1"/>
    <col min="11266" max="11266" width="0" style="160" hidden="1" customWidth="1"/>
    <col min="11267" max="11267" width="19.5703125" style="160" customWidth="1"/>
    <col min="11268" max="11268" width="11.7109375" style="160" customWidth="1"/>
    <col min="11269" max="11269" width="48.42578125" style="160" customWidth="1"/>
    <col min="11270" max="11270" width="13.140625" style="160" customWidth="1"/>
    <col min="11271" max="11271" width="12.7109375" style="160" customWidth="1"/>
    <col min="11272" max="11272" width="11.42578125" style="160" customWidth="1"/>
    <col min="11273" max="11273" width="10.85546875" style="160" customWidth="1"/>
    <col min="11274" max="11274" width="7.85546875" style="160" customWidth="1"/>
    <col min="11275" max="11275" width="9.5703125" style="160" customWidth="1"/>
    <col min="11276" max="11276" width="9" style="160" customWidth="1"/>
    <col min="11277" max="11277" width="0" style="160" hidden="1" customWidth="1"/>
    <col min="11278" max="11278" width="10.5703125" style="160" customWidth="1"/>
    <col min="11279" max="11279" width="9.5703125" style="160" customWidth="1"/>
    <col min="11280" max="11280" width="10" style="160" customWidth="1"/>
    <col min="11281" max="11281" width="9.28515625" style="160" customWidth="1"/>
    <col min="11282" max="11282" width="11.5703125" style="160" customWidth="1"/>
    <col min="11283" max="11283" width="0" style="160" hidden="1" customWidth="1"/>
    <col min="11284" max="11519" width="7.85546875" style="160"/>
    <col min="11520" max="11520" width="3.28515625" style="160" customWidth="1"/>
    <col min="11521" max="11521" width="10.28515625" style="160" customWidth="1"/>
    <col min="11522" max="11522" width="0" style="160" hidden="1" customWidth="1"/>
    <col min="11523" max="11523" width="19.5703125" style="160" customWidth="1"/>
    <col min="11524" max="11524" width="11.7109375" style="160" customWidth="1"/>
    <col min="11525" max="11525" width="48.42578125" style="160" customWidth="1"/>
    <col min="11526" max="11526" width="13.140625" style="160" customWidth="1"/>
    <col min="11527" max="11527" width="12.7109375" style="160" customWidth="1"/>
    <col min="11528" max="11528" width="11.42578125" style="160" customWidth="1"/>
    <col min="11529" max="11529" width="10.85546875" style="160" customWidth="1"/>
    <col min="11530" max="11530" width="7.85546875" style="160" customWidth="1"/>
    <col min="11531" max="11531" width="9.5703125" style="160" customWidth="1"/>
    <col min="11532" max="11532" width="9" style="160" customWidth="1"/>
    <col min="11533" max="11533" width="0" style="160" hidden="1" customWidth="1"/>
    <col min="11534" max="11534" width="10.5703125" style="160" customWidth="1"/>
    <col min="11535" max="11535" width="9.5703125" style="160" customWidth="1"/>
    <col min="11536" max="11536" width="10" style="160" customWidth="1"/>
    <col min="11537" max="11537" width="9.28515625" style="160" customWidth="1"/>
    <col min="11538" max="11538" width="11.5703125" style="160" customWidth="1"/>
    <col min="11539" max="11539" width="0" style="160" hidden="1" customWidth="1"/>
    <col min="11540" max="11775" width="7.85546875" style="160"/>
    <col min="11776" max="11776" width="3.28515625" style="160" customWidth="1"/>
    <col min="11777" max="11777" width="10.28515625" style="160" customWidth="1"/>
    <col min="11778" max="11778" width="0" style="160" hidden="1" customWidth="1"/>
    <col min="11779" max="11779" width="19.5703125" style="160" customWidth="1"/>
    <col min="11780" max="11780" width="11.7109375" style="160" customWidth="1"/>
    <col min="11781" max="11781" width="48.42578125" style="160" customWidth="1"/>
    <col min="11782" max="11782" width="13.140625" style="160" customWidth="1"/>
    <col min="11783" max="11783" width="12.7109375" style="160" customWidth="1"/>
    <col min="11784" max="11784" width="11.42578125" style="160" customWidth="1"/>
    <col min="11785" max="11785" width="10.85546875" style="160" customWidth="1"/>
    <col min="11786" max="11786" width="7.85546875" style="160" customWidth="1"/>
    <col min="11787" max="11787" width="9.5703125" style="160" customWidth="1"/>
    <col min="11788" max="11788" width="9" style="160" customWidth="1"/>
    <col min="11789" max="11789" width="0" style="160" hidden="1" customWidth="1"/>
    <col min="11790" max="11790" width="10.5703125" style="160" customWidth="1"/>
    <col min="11791" max="11791" width="9.5703125" style="160" customWidth="1"/>
    <col min="11792" max="11792" width="10" style="160" customWidth="1"/>
    <col min="11793" max="11793" width="9.28515625" style="160" customWidth="1"/>
    <col min="11794" max="11794" width="11.5703125" style="160" customWidth="1"/>
    <col min="11795" max="11795" width="0" style="160" hidden="1" customWidth="1"/>
    <col min="11796" max="12031" width="7.85546875" style="160"/>
    <col min="12032" max="12032" width="3.28515625" style="160" customWidth="1"/>
    <col min="12033" max="12033" width="10.28515625" style="160" customWidth="1"/>
    <col min="12034" max="12034" width="0" style="160" hidden="1" customWidth="1"/>
    <col min="12035" max="12035" width="19.5703125" style="160" customWidth="1"/>
    <col min="12036" max="12036" width="11.7109375" style="160" customWidth="1"/>
    <col min="12037" max="12037" width="48.42578125" style="160" customWidth="1"/>
    <col min="12038" max="12038" width="13.140625" style="160" customWidth="1"/>
    <col min="12039" max="12039" width="12.7109375" style="160" customWidth="1"/>
    <col min="12040" max="12040" width="11.42578125" style="160" customWidth="1"/>
    <col min="12041" max="12041" width="10.85546875" style="160" customWidth="1"/>
    <col min="12042" max="12042" width="7.85546875" style="160" customWidth="1"/>
    <col min="12043" max="12043" width="9.5703125" style="160" customWidth="1"/>
    <col min="12044" max="12044" width="9" style="160" customWidth="1"/>
    <col min="12045" max="12045" width="0" style="160" hidden="1" customWidth="1"/>
    <col min="12046" max="12046" width="10.5703125" style="160" customWidth="1"/>
    <col min="12047" max="12047" width="9.5703125" style="160" customWidth="1"/>
    <col min="12048" max="12048" width="10" style="160" customWidth="1"/>
    <col min="12049" max="12049" width="9.28515625" style="160" customWidth="1"/>
    <col min="12050" max="12050" width="11.5703125" style="160" customWidth="1"/>
    <col min="12051" max="12051" width="0" style="160" hidden="1" customWidth="1"/>
    <col min="12052" max="12287" width="7.85546875" style="160"/>
    <col min="12288" max="12288" width="3.28515625" style="160" customWidth="1"/>
    <col min="12289" max="12289" width="10.28515625" style="160" customWidth="1"/>
    <col min="12290" max="12290" width="0" style="160" hidden="1" customWidth="1"/>
    <col min="12291" max="12291" width="19.5703125" style="160" customWidth="1"/>
    <col min="12292" max="12292" width="11.7109375" style="160" customWidth="1"/>
    <col min="12293" max="12293" width="48.42578125" style="160" customWidth="1"/>
    <col min="12294" max="12294" width="13.140625" style="160" customWidth="1"/>
    <col min="12295" max="12295" width="12.7109375" style="160" customWidth="1"/>
    <col min="12296" max="12296" width="11.42578125" style="160" customWidth="1"/>
    <col min="12297" max="12297" width="10.85546875" style="160" customWidth="1"/>
    <col min="12298" max="12298" width="7.85546875" style="160" customWidth="1"/>
    <col min="12299" max="12299" width="9.5703125" style="160" customWidth="1"/>
    <col min="12300" max="12300" width="9" style="160" customWidth="1"/>
    <col min="12301" max="12301" width="0" style="160" hidden="1" customWidth="1"/>
    <col min="12302" max="12302" width="10.5703125" style="160" customWidth="1"/>
    <col min="12303" max="12303" width="9.5703125" style="160" customWidth="1"/>
    <col min="12304" max="12304" width="10" style="160" customWidth="1"/>
    <col min="12305" max="12305" width="9.28515625" style="160" customWidth="1"/>
    <col min="12306" max="12306" width="11.5703125" style="160" customWidth="1"/>
    <col min="12307" max="12307" width="0" style="160" hidden="1" customWidth="1"/>
    <col min="12308" max="12543" width="7.85546875" style="160"/>
    <col min="12544" max="12544" width="3.28515625" style="160" customWidth="1"/>
    <col min="12545" max="12545" width="10.28515625" style="160" customWidth="1"/>
    <col min="12546" max="12546" width="0" style="160" hidden="1" customWidth="1"/>
    <col min="12547" max="12547" width="19.5703125" style="160" customWidth="1"/>
    <col min="12548" max="12548" width="11.7109375" style="160" customWidth="1"/>
    <col min="12549" max="12549" width="48.42578125" style="160" customWidth="1"/>
    <col min="12550" max="12550" width="13.140625" style="160" customWidth="1"/>
    <col min="12551" max="12551" width="12.7109375" style="160" customWidth="1"/>
    <col min="12552" max="12552" width="11.42578125" style="160" customWidth="1"/>
    <col min="12553" max="12553" width="10.85546875" style="160" customWidth="1"/>
    <col min="12554" max="12554" width="7.85546875" style="160" customWidth="1"/>
    <col min="12555" max="12555" width="9.5703125" style="160" customWidth="1"/>
    <col min="12556" max="12556" width="9" style="160" customWidth="1"/>
    <col min="12557" max="12557" width="0" style="160" hidden="1" customWidth="1"/>
    <col min="12558" max="12558" width="10.5703125" style="160" customWidth="1"/>
    <col min="12559" max="12559" width="9.5703125" style="160" customWidth="1"/>
    <col min="12560" max="12560" width="10" style="160" customWidth="1"/>
    <col min="12561" max="12561" width="9.28515625" style="160" customWidth="1"/>
    <col min="12562" max="12562" width="11.5703125" style="160" customWidth="1"/>
    <col min="12563" max="12563" width="0" style="160" hidden="1" customWidth="1"/>
    <col min="12564" max="12799" width="7.85546875" style="160"/>
    <col min="12800" max="12800" width="3.28515625" style="160" customWidth="1"/>
    <col min="12801" max="12801" width="10.28515625" style="160" customWidth="1"/>
    <col min="12802" max="12802" width="0" style="160" hidden="1" customWidth="1"/>
    <col min="12803" max="12803" width="19.5703125" style="160" customWidth="1"/>
    <col min="12804" max="12804" width="11.7109375" style="160" customWidth="1"/>
    <col min="12805" max="12805" width="48.42578125" style="160" customWidth="1"/>
    <col min="12806" max="12806" width="13.140625" style="160" customWidth="1"/>
    <col min="12807" max="12807" width="12.7109375" style="160" customWidth="1"/>
    <col min="12808" max="12808" width="11.42578125" style="160" customWidth="1"/>
    <col min="12809" max="12809" width="10.85546875" style="160" customWidth="1"/>
    <col min="12810" max="12810" width="7.85546875" style="160" customWidth="1"/>
    <col min="12811" max="12811" width="9.5703125" style="160" customWidth="1"/>
    <col min="12812" max="12812" width="9" style="160" customWidth="1"/>
    <col min="12813" max="12813" width="0" style="160" hidden="1" customWidth="1"/>
    <col min="12814" max="12814" width="10.5703125" style="160" customWidth="1"/>
    <col min="12815" max="12815" width="9.5703125" style="160" customWidth="1"/>
    <col min="12816" max="12816" width="10" style="160" customWidth="1"/>
    <col min="12817" max="12817" width="9.28515625" style="160" customWidth="1"/>
    <col min="12818" max="12818" width="11.5703125" style="160" customWidth="1"/>
    <col min="12819" max="12819" width="0" style="160" hidden="1" customWidth="1"/>
    <col min="12820" max="13055" width="7.85546875" style="160"/>
    <col min="13056" max="13056" width="3.28515625" style="160" customWidth="1"/>
    <col min="13057" max="13057" width="10.28515625" style="160" customWidth="1"/>
    <col min="13058" max="13058" width="0" style="160" hidden="1" customWidth="1"/>
    <col min="13059" max="13059" width="19.5703125" style="160" customWidth="1"/>
    <col min="13060" max="13060" width="11.7109375" style="160" customWidth="1"/>
    <col min="13061" max="13061" width="48.42578125" style="160" customWidth="1"/>
    <col min="13062" max="13062" width="13.140625" style="160" customWidth="1"/>
    <col min="13063" max="13063" width="12.7109375" style="160" customWidth="1"/>
    <col min="13064" max="13064" width="11.42578125" style="160" customWidth="1"/>
    <col min="13065" max="13065" width="10.85546875" style="160" customWidth="1"/>
    <col min="13066" max="13066" width="7.85546875" style="160" customWidth="1"/>
    <col min="13067" max="13067" width="9.5703125" style="160" customWidth="1"/>
    <col min="13068" max="13068" width="9" style="160" customWidth="1"/>
    <col min="13069" max="13069" width="0" style="160" hidden="1" customWidth="1"/>
    <col min="13070" max="13070" width="10.5703125" style="160" customWidth="1"/>
    <col min="13071" max="13071" width="9.5703125" style="160" customWidth="1"/>
    <col min="13072" max="13072" width="10" style="160" customWidth="1"/>
    <col min="13073" max="13073" width="9.28515625" style="160" customWidth="1"/>
    <col min="13074" max="13074" width="11.5703125" style="160" customWidth="1"/>
    <col min="13075" max="13075" width="0" style="160" hidden="1" customWidth="1"/>
    <col min="13076" max="13311" width="7.85546875" style="160"/>
    <col min="13312" max="13312" width="3.28515625" style="160" customWidth="1"/>
    <col min="13313" max="13313" width="10.28515625" style="160" customWidth="1"/>
    <col min="13314" max="13314" width="0" style="160" hidden="1" customWidth="1"/>
    <col min="13315" max="13315" width="19.5703125" style="160" customWidth="1"/>
    <col min="13316" max="13316" width="11.7109375" style="160" customWidth="1"/>
    <col min="13317" max="13317" width="48.42578125" style="160" customWidth="1"/>
    <col min="13318" max="13318" width="13.140625" style="160" customWidth="1"/>
    <col min="13319" max="13319" width="12.7109375" style="160" customWidth="1"/>
    <col min="13320" max="13320" width="11.42578125" style="160" customWidth="1"/>
    <col min="13321" max="13321" width="10.85546875" style="160" customWidth="1"/>
    <col min="13322" max="13322" width="7.85546875" style="160" customWidth="1"/>
    <col min="13323" max="13323" width="9.5703125" style="160" customWidth="1"/>
    <col min="13324" max="13324" width="9" style="160" customWidth="1"/>
    <col min="13325" max="13325" width="0" style="160" hidden="1" customWidth="1"/>
    <col min="13326" max="13326" width="10.5703125" style="160" customWidth="1"/>
    <col min="13327" max="13327" width="9.5703125" style="160" customWidth="1"/>
    <col min="13328" max="13328" width="10" style="160" customWidth="1"/>
    <col min="13329" max="13329" width="9.28515625" style="160" customWidth="1"/>
    <col min="13330" max="13330" width="11.5703125" style="160" customWidth="1"/>
    <col min="13331" max="13331" width="0" style="160" hidden="1" customWidth="1"/>
    <col min="13332" max="13567" width="7.85546875" style="160"/>
    <col min="13568" max="13568" width="3.28515625" style="160" customWidth="1"/>
    <col min="13569" max="13569" width="10.28515625" style="160" customWidth="1"/>
    <col min="13570" max="13570" width="0" style="160" hidden="1" customWidth="1"/>
    <col min="13571" max="13571" width="19.5703125" style="160" customWidth="1"/>
    <col min="13572" max="13572" width="11.7109375" style="160" customWidth="1"/>
    <col min="13573" max="13573" width="48.42578125" style="160" customWidth="1"/>
    <col min="13574" max="13574" width="13.140625" style="160" customWidth="1"/>
    <col min="13575" max="13575" width="12.7109375" style="160" customWidth="1"/>
    <col min="13576" max="13576" width="11.42578125" style="160" customWidth="1"/>
    <col min="13577" max="13577" width="10.85546875" style="160" customWidth="1"/>
    <col min="13578" max="13578" width="7.85546875" style="160" customWidth="1"/>
    <col min="13579" max="13579" width="9.5703125" style="160" customWidth="1"/>
    <col min="13580" max="13580" width="9" style="160" customWidth="1"/>
    <col min="13581" max="13581" width="0" style="160" hidden="1" customWidth="1"/>
    <col min="13582" max="13582" width="10.5703125" style="160" customWidth="1"/>
    <col min="13583" max="13583" width="9.5703125" style="160" customWidth="1"/>
    <col min="13584" max="13584" width="10" style="160" customWidth="1"/>
    <col min="13585" max="13585" width="9.28515625" style="160" customWidth="1"/>
    <col min="13586" max="13586" width="11.5703125" style="160" customWidth="1"/>
    <col min="13587" max="13587" width="0" style="160" hidden="1" customWidth="1"/>
    <col min="13588" max="13823" width="7.85546875" style="160"/>
    <col min="13824" max="13824" width="3.28515625" style="160" customWidth="1"/>
    <col min="13825" max="13825" width="10.28515625" style="160" customWidth="1"/>
    <col min="13826" max="13826" width="0" style="160" hidden="1" customWidth="1"/>
    <col min="13827" max="13827" width="19.5703125" style="160" customWidth="1"/>
    <col min="13828" max="13828" width="11.7109375" style="160" customWidth="1"/>
    <col min="13829" max="13829" width="48.42578125" style="160" customWidth="1"/>
    <col min="13830" max="13830" width="13.140625" style="160" customWidth="1"/>
    <col min="13831" max="13831" width="12.7109375" style="160" customWidth="1"/>
    <col min="13832" max="13832" width="11.42578125" style="160" customWidth="1"/>
    <col min="13833" max="13833" width="10.85546875" style="160" customWidth="1"/>
    <col min="13834" max="13834" width="7.85546875" style="160" customWidth="1"/>
    <col min="13835" max="13835" width="9.5703125" style="160" customWidth="1"/>
    <col min="13836" max="13836" width="9" style="160" customWidth="1"/>
    <col min="13837" max="13837" width="0" style="160" hidden="1" customWidth="1"/>
    <col min="13838" max="13838" width="10.5703125" style="160" customWidth="1"/>
    <col min="13839" max="13839" width="9.5703125" style="160" customWidth="1"/>
    <col min="13840" max="13840" width="10" style="160" customWidth="1"/>
    <col min="13841" max="13841" width="9.28515625" style="160" customWidth="1"/>
    <col min="13842" max="13842" width="11.5703125" style="160" customWidth="1"/>
    <col min="13843" max="13843" width="0" style="160" hidden="1" customWidth="1"/>
    <col min="13844" max="14079" width="7.85546875" style="160"/>
    <col min="14080" max="14080" width="3.28515625" style="160" customWidth="1"/>
    <col min="14081" max="14081" width="10.28515625" style="160" customWidth="1"/>
    <col min="14082" max="14082" width="0" style="160" hidden="1" customWidth="1"/>
    <col min="14083" max="14083" width="19.5703125" style="160" customWidth="1"/>
    <col min="14084" max="14084" width="11.7109375" style="160" customWidth="1"/>
    <col min="14085" max="14085" width="48.42578125" style="160" customWidth="1"/>
    <col min="14086" max="14086" width="13.140625" style="160" customWidth="1"/>
    <col min="14087" max="14087" width="12.7109375" style="160" customWidth="1"/>
    <col min="14088" max="14088" width="11.42578125" style="160" customWidth="1"/>
    <col min="14089" max="14089" width="10.85546875" style="160" customWidth="1"/>
    <col min="14090" max="14090" width="7.85546875" style="160" customWidth="1"/>
    <col min="14091" max="14091" width="9.5703125" style="160" customWidth="1"/>
    <col min="14092" max="14092" width="9" style="160" customWidth="1"/>
    <col min="14093" max="14093" width="0" style="160" hidden="1" customWidth="1"/>
    <col min="14094" max="14094" width="10.5703125" style="160" customWidth="1"/>
    <col min="14095" max="14095" width="9.5703125" style="160" customWidth="1"/>
    <col min="14096" max="14096" width="10" style="160" customWidth="1"/>
    <col min="14097" max="14097" width="9.28515625" style="160" customWidth="1"/>
    <col min="14098" max="14098" width="11.5703125" style="160" customWidth="1"/>
    <col min="14099" max="14099" width="0" style="160" hidden="1" customWidth="1"/>
    <col min="14100" max="14335" width="7.85546875" style="160"/>
    <col min="14336" max="14336" width="3.28515625" style="160" customWidth="1"/>
    <col min="14337" max="14337" width="10.28515625" style="160" customWidth="1"/>
    <col min="14338" max="14338" width="0" style="160" hidden="1" customWidth="1"/>
    <col min="14339" max="14339" width="19.5703125" style="160" customWidth="1"/>
    <col min="14340" max="14340" width="11.7109375" style="160" customWidth="1"/>
    <col min="14341" max="14341" width="48.42578125" style="160" customWidth="1"/>
    <col min="14342" max="14342" width="13.140625" style="160" customWidth="1"/>
    <col min="14343" max="14343" width="12.7109375" style="160" customWidth="1"/>
    <col min="14344" max="14344" width="11.42578125" style="160" customWidth="1"/>
    <col min="14345" max="14345" width="10.85546875" style="160" customWidth="1"/>
    <col min="14346" max="14346" width="7.85546875" style="160" customWidth="1"/>
    <col min="14347" max="14347" width="9.5703125" style="160" customWidth="1"/>
    <col min="14348" max="14348" width="9" style="160" customWidth="1"/>
    <col min="14349" max="14349" width="0" style="160" hidden="1" customWidth="1"/>
    <col min="14350" max="14350" width="10.5703125" style="160" customWidth="1"/>
    <col min="14351" max="14351" width="9.5703125" style="160" customWidth="1"/>
    <col min="14352" max="14352" width="10" style="160" customWidth="1"/>
    <col min="14353" max="14353" width="9.28515625" style="160" customWidth="1"/>
    <col min="14354" max="14354" width="11.5703125" style="160" customWidth="1"/>
    <col min="14355" max="14355" width="0" style="160" hidden="1" customWidth="1"/>
    <col min="14356" max="14591" width="7.85546875" style="160"/>
    <col min="14592" max="14592" width="3.28515625" style="160" customWidth="1"/>
    <col min="14593" max="14593" width="10.28515625" style="160" customWidth="1"/>
    <col min="14594" max="14594" width="0" style="160" hidden="1" customWidth="1"/>
    <col min="14595" max="14595" width="19.5703125" style="160" customWidth="1"/>
    <col min="14596" max="14596" width="11.7109375" style="160" customWidth="1"/>
    <col min="14597" max="14597" width="48.42578125" style="160" customWidth="1"/>
    <col min="14598" max="14598" width="13.140625" style="160" customWidth="1"/>
    <col min="14599" max="14599" width="12.7109375" style="160" customWidth="1"/>
    <col min="14600" max="14600" width="11.42578125" style="160" customWidth="1"/>
    <col min="14601" max="14601" width="10.85546875" style="160" customWidth="1"/>
    <col min="14602" max="14602" width="7.85546875" style="160" customWidth="1"/>
    <col min="14603" max="14603" width="9.5703125" style="160" customWidth="1"/>
    <col min="14604" max="14604" width="9" style="160" customWidth="1"/>
    <col min="14605" max="14605" width="0" style="160" hidden="1" customWidth="1"/>
    <col min="14606" max="14606" width="10.5703125" style="160" customWidth="1"/>
    <col min="14607" max="14607" width="9.5703125" style="160" customWidth="1"/>
    <col min="14608" max="14608" width="10" style="160" customWidth="1"/>
    <col min="14609" max="14609" width="9.28515625" style="160" customWidth="1"/>
    <col min="14610" max="14610" width="11.5703125" style="160" customWidth="1"/>
    <col min="14611" max="14611" width="0" style="160" hidden="1" customWidth="1"/>
    <col min="14612" max="14847" width="7.85546875" style="160"/>
    <col min="14848" max="14848" width="3.28515625" style="160" customWidth="1"/>
    <col min="14849" max="14849" width="10.28515625" style="160" customWidth="1"/>
    <col min="14850" max="14850" width="0" style="160" hidden="1" customWidth="1"/>
    <col min="14851" max="14851" width="19.5703125" style="160" customWidth="1"/>
    <col min="14852" max="14852" width="11.7109375" style="160" customWidth="1"/>
    <col min="14853" max="14853" width="48.42578125" style="160" customWidth="1"/>
    <col min="14854" max="14854" width="13.140625" style="160" customWidth="1"/>
    <col min="14855" max="14855" width="12.7109375" style="160" customWidth="1"/>
    <col min="14856" max="14856" width="11.42578125" style="160" customWidth="1"/>
    <col min="14857" max="14857" width="10.85546875" style="160" customWidth="1"/>
    <col min="14858" max="14858" width="7.85546875" style="160" customWidth="1"/>
    <col min="14859" max="14859" width="9.5703125" style="160" customWidth="1"/>
    <col min="14860" max="14860" width="9" style="160" customWidth="1"/>
    <col min="14861" max="14861" width="0" style="160" hidden="1" customWidth="1"/>
    <col min="14862" max="14862" width="10.5703125" style="160" customWidth="1"/>
    <col min="14863" max="14863" width="9.5703125" style="160" customWidth="1"/>
    <col min="14864" max="14864" width="10" style="160" customWidth="1"/>
    <col min="14865" max="14865" width="9.28515625" style="160" customWidth="1"/>
    <col min="14866" max="14866" width="11.5703125" style="160" customWidth="1"/>
    <col min="14867" max="14867" width="0" style="160" hidden="1" customWidth="1"/>
    <col min="14868" max="15103" width="7.85546875" style="160"/>
    <col min="15104" max="15104" width="3.28515625" style="160" customWidth="1"/>
    <col min="15105" max="15105" width="10.28515625" style="160" customWidth="1"/>
    <col min="15106" max="15106" width="0" style="160" hidden="1" customWidth="1"/>
    <col min="15107" max="15107" width="19.5703125" style="160" customWidth="1"/>
    <col min="15108" max="15108" width="11.7109375" style="160" customWidth="1"/>
    <col min="15109" max="15109" width="48.42578125" style="160" customWidth="1"/>
    <col min="15110" max="15110" width="13.140625" style="160" customWidth="1"/>
    <col min="15111" max="15111" width="12.7109375" style="160" customWidth="1"/>
    <col min="15112" max="15112" width="11.42578125" style="160" customWidth="1"/>
    <col min="15113" max="15113" width="10.85546875" style="160" customWidth="1"/>
    <col min="15114" max="15114" width="7.85546875" style="160" customWidth="1"/>
    <col min="15115" max="15115" width="9.5703125" style="160" customWidth="1"/>
    <col min="15116" max="15116" width="9" style="160" customWidth="1"/>
    <col min="15117" max="15117" width="0" style="160" hidden="1" customWidth="1"/>
    <col min="15118" max="15118" width="10.5703125" style="160" customWidth="1"/>
    <col min="15119" max="15119" width="9.5703125" style="160" customWidth="1"/>
    <col min="15120" max="15120" width="10" style="160" customWidth="1"/>
    <col min="15121" max="15121" width="9.28515625" style="160" customWidth="1"/>
    <col min="15122" max="15122" width="11.5703125" style="160" customWidth="1"/>
    <col min="15123" max="15123" width="0" style="160" hidden="1" customWidth="1"/>
    <col min="15124" max="15359" width="7.85546875" style="160"/>
    <col min="15360" max="15360" width="3.28515625" style="160" customWidth="1"/>
    <col min="15361" max="15361" width="10.28515625" style="160" customWidth="1"/>
    <col min="15362" max="15362" width="0" style="160" hidden="1" customWidth="1"/>
    <col min="15363" max="15363" width="19.5703125" style="160" customWidth="1"/>
    <col min="15364" max="15364" width="11.7109375" style="160" customWidth="1"/>
    <col min="15365" max="15365" width="48.42578125" style="160" customWidth="1"/>
    <col min="15366" max="15366" width="13.140625" style="160" customWidth="1"/>
    <col min="15367" max="15367" width="12.7109375" style="160" customWidth="1"/>
    <col min="15368" max="15368" width="11.42578125" style="160" customWidth="1"/>
    <col min="15369" max="15369" width="10.85546875" style="160" customWidth="1"/>
    <col min="15370" max="15370" width="7.85546875" style="160" customWidth="1"/>
    <col min="15371" max="15371" width="9.5703125" style="160" customWidth="1"/>
    <col min="15372" max="15372" width="9" style="160" customWidth="1"/>
    <col min="15373" max="15373" width="0" style="160" hidden="1" customWidth="1"/>
    <col min="15374" max="15374" width="10.5703125" style="160" customWidth="1"/>
    <col min="15375" max="15375" width="9.5703125" style="160" customWidth="1"/>
    <col min="15376" max="15376" width="10" style="160" customWidth="1"/>
    <col min="15377" max="15377" width="9.28515625" style="160" customWidth="1"/>
    <col min="15378" max="15378" width="11.5703125" style="160" customWidth="1"/>
    <col min="15379" max="15379" width="0" style="160" hidden="1" customWidth="1"/>
    <col min="15380" max="15615" width="7.85546875" style="160"/>
    <col min="15616" max="15616" width="3.28515625" style="160" customWidth="1"/>
    <col min="15617" max="15617" width="10.28515625" style="160" customWidth="1"/>
    <col min="15618" max="15618" width="0" style="160" hidden="1" customWidth="1"/>
    <col min="15619" max="15619" width="19.5703125" style="160" customWidth="1"/>
    <col min="15620" max="15620" width="11.7109375" style="160" customWidth="1"/>
    <col min="15621" max="15621" width="48.42578125" style="160" customWidth="1"/>
    <col min="15622" max="15622" width="13.140625" style="160" customWidth="1"/>
    <col min="15623" max="15623" width="12.7109375" style="160" customWidth="1"/>
    <col min="15624" max="15624" width="11.42578125" style="160" customWidth="1"/>
    <col min="15625" max="15625" width="10.85546875" style="160" customWidth="1"/>
    <col min="15626" max="15626" width="7.85546875" style="160" customWidth="1"/>
    <col min="15627" max="15627" width="9.5703125" style="160" customWidth="1"/>
    <col min="15628" max="15628" width="9" style="160" customWidth="1"/>
    <col min="15629" max="15629" width="0" style="160" hidden="1" customWidth="1"/>
    <col min="15630" max="15630" width="10.5703125" style="160" customWidth="1"/>
    <col min="15631" max="15631" width="9.5703125" style="160" customWidth="1"/>
    <col min="15632" max="15632" width="10" style="160" customWidth="1"/>
    <col min="15633" max="15633" width="9.28515625" style="160" customWidth="1"/>
    <col min="15634" max="15634" width="11.5703125" style="160" customWidth="1"/>
    <col min="15635" max="15635" width="0" style="160" hidden="1" customWidth="1"/>
    <col min="15636" max="15871" width="7.85546875" style="160"/>
    <col min="15872" max="15872" width="3.28515625" style="160" customWidth="1"/>
    <col min="15873" max="15873" width="10.28515625" style="160" customWidth="1"/>
    <col min="15874" max="15874" width="0" style="160" hidden="1" customWidth="1"/>
    <col min="15875" max="15875" width="19.5703125" style="160" customWidth="1"/>
    <col min="15876" max="15876" width="11.7109375" style="160" customWidth="1"/>
    <col min="15877" max="15877" width="48.42578125" style="160" customWidth="1"/>
    <col min="15878" max="15878" width="13.140625" style="160" customWidth="1"/>
    <col min="15879" max="15879" width="12.7109375" style="160" customWidth="1"/>
    <col min="15880" max="15880" width="11.42578125" style="160" customWidth="1"/>
    <col min="15881" max="15881" width="10.85546875" style="160" customWidth="1"/>
    <col min="15882" max="15882" width="7.85546875" style="160" customWidth="1"/>
    <col min="15883" max="15883" width="9.5703125" style="160" customWidth="1"/>
    <col min="15884" max="15884" width="9" style="160" customWidth="1"/>
    <col min="15885" max="15885" width="0" style="160" hidden="1" customWidth="1"/>
    <col min="15886" max="15886" width="10.5703125" style="160" customWidth="1"/>
    <col min="15887" max="15887" width="9.5703125" style="160" customWidth="1"/>
    <col min="15888" max="15888" width="10" style="160" customWidth="1"/>
    <col min="15889" max="15889" width="9.28515625" style="160" customWidth="1"/>
    <col min="15890" max="15890" width="11.5703125" style="160" customWidth="1"/>
    <col min="15891" max="15891" width="0" style="160" hidden="1" customWidth="1"/>
    <col min="15892" max="16127" width="7.85546875" style="160"/>
    <col min="16128" max="16128" width="3.28515625" style="160" customWidth="1"/>
    <col min="16129" max="16129" width="10.28515625" style="160" customWidth="1"/>
    <col min="16130" max="16130" width="0" style="160" hidden="1" customWidth="1"/>
    <col min="16131" max="16131" width="19.5703125" style="160" customWidth="1"/>
    <col min="16132" max="16132" width="11.7109375" style="160" customWidth="1"/>
    <col min="16133" max="16133" width="48.42578125" style="160" customWidth="1"/>
    <col min="16134" max="16134" width="13.140625" style="160" customWidth="1"/>
    <col min="16135" max="16135" width="12.7109375" style="160" customWidth="1"/>
    <col min="16136" max="16136" width="11.42578125" style="160" customWidth="1"/>
    <col min="16137" max="16137" width="10.85546875" style="160" customWidth="1"/>
    <col min="16138" max="16138" width="7.85546875" style="160" customWidth="1"/>
    <col min="16139" max="16139" width="9.5703125" style="160" customWidth="1"/>
    <col min="16140" max="16140" width="9" style="160" customWidth="1"/>
    <col min="16141" max="16141" width="0" style="160" hidden="1" customWidth="1"/>
    <col min="16142" max="16142" width="10.5703125" style="160" customWidth="1"/>
    <col min="16143" max="16143" width="9.5703125" style="160" customWidth="1"/>
    <col min="16144" max="16144" width="10" style="160" customWidth="1"/>
    <col min="16145" max="16145" width="9.28515625" style="160" customWidth="1"/>
    <col min="16146" max="16146" width="11.5703125" style="160" customWidth="1"/>
    <col min="16147" max="16147" width="0" style="160" hidden="1" customWidth="1"/>
    <col min="16148" max="16384" width="7.85546875" style="160"/>
  </cols>
  <sheetData>
    <row r="1" spans="1:19" ht="15.75" x14ac:dyDescent="0.25">
      <c r="B1" s="157"/>
      <c r="C1" s="157"/>
      <c r="D1" s="157"/>
      <c r="E1" s="157"/>
      <c r="F1" s="157"/>
      <c r="G1" s="157"/>
      <c r="H1" s="157"/>
      <c r="I1" s="157"/>
      <c r="J1" s="157"/>
      <c r="K1" s="158"/>
      <c r="L1" s="158"/>
      <c r="M1" s="158"/>
      <c r="N1" s="826" t="s">
        <v>371</v>
      </c>
      <c r="O1" s="826"/>
      <c r="P1" s="826"/>
      <c r="Q1" s="158"/>
      <c r="R1" s="157"/>
      <c r="S1" s="159"/>
    </row>
    <row r="2" spans="1:19" ht="15.75" x14ac:dyDescent="0.25">
      <c r="B2" s="157"/>
      <c r="C2" s="157"/>
      <c r="D2" s="157"/>
      <c r="E2" s="157"/>
      <c r="F2" s="157"/>
      <c r="G2" s="157"/>
      <c r="H2" s="157"/>
      <c r="I2" s="157"/>
      <c r="J2" s="157"/>
      <c r="K2" s="158"/>
      <c r="L2" s="158"/>
      <c r="M2" s="158"/>
      <c r="N2" s="14" t="s">
        <v>833</v>
      </c>
      <c r="O2" s="161"/>
      <c r="P2" s="161"/>
      <c r="Q2" s="158"/>
      <c r="R2" s="157"/>
      <c r="S2" s="159"/>
    </row>
    <row r="3" spans="1:19" ht="15.75" x14ac:dyDescent="0.25">
      <c r="B3" s="157"/>
      <c r="C3" s="157"/>
      <c r="D3" s="157"/>
      <c r="E3" s="157"/>
      <c r="F3" s="157"/>
      <c r="G3" s="157"/>
      <c r="H3" s="157"/>
      <c r="I3" s="157"/>
      <c r="J3" s="157"/>
      <c r="K3" s="158"/>
      <c r="L3" s="158"/>
      <c r="M3" s="158"/>
      <c r="N3" s="14" t="s">
        <v>1102</v>
      </c>
      <c r="O3" s="161"/>
      <c r="P3" s="161"/>
      <c r="Q3" s="158"/>
      <c r="R3" s="157"/>
      <c r="S3" s="159"/>
    </row>
    <row r="4" spans="1:19" ht="40.5" customHeight="1" x14ac:dyDescent="0.2">
      <c r="B4" s="827" t="s">
        <v>769</v>
      </c>
      <c r="C4" s="827"/>
      <c r="D4" s="827"/>
      <c r="E4" s="827"/>
      <c r="F4" s="827"/>
      <c r="G4" s="827"/>
      <c r="H4" s="827"/>
      <c r="I4" s="827"/>
      <c r="J4" s="827"/>
      <c r="K4" s="827"/>
      <c r="L4" s="827"/>
      <c r="M4" s="827"/>
      <c r="N4" s="827"/>
      <c r="O4" s="827"/>
      <c r="P4" s="827"/>
      <c r="Q4" s="827"/>
      <c r="R4" s="827"/>
      <c r="S4" s="159"/>
    </row>
    <row r="5" spans="1:19" ht="18" customHeight="1" x14ac:dyDescent="0.2">
      <c r="B5" s="598"/>
      <c r="C5" s="162"/>
      <c r="D5" s="598"/>
      <c r="E5" s="162">
        <v>11503000000</v>
      </c>
      <c r="F5" s="598"/>
      <c r="G5" s="598"/>
      <c r="H5" s="598"/>
      <c r="I5" s="598"/>
      <c r="J5" s="598"/>
      <c r="K5" s="598"/>
      <c r="L5" s="598"/>
      <c r="M5" s="598"/>
      <c r="N5" s="598"/>
      <c r="O5" s="598"/>
      <c r="P5" s="598"/>
      <c r="Q5" s="598"/>
      <c r="R5" s="598"/>
      <c r="S5" s="159"/>
    </row>
    <row r="6" spans="1:19" ht="19.5" customHeight="1" thickBot="1" x14ac:dyDescent="0.3">
      <c r="B6" s="598"/>
      <c r="C6" s="162"/>
      <c r="D6" s="598"/>
      <c r="E6" s="162" t="s">
        <v>2</v>
      </c>
      <c r="F6" s="598"/>
      <c r="G6" s="598"/>
      <c r="H6" s="598"/>
      <c r="I6" s="598"/>
      <c r="J6" s="598"/>
      <c r="K6" s="598"/>
      <c r="L6" s="598"/>
      <c r="M6" s="598"/>
      <c r="N6" s="598"/>
      <c r="O6" s="598"/>
      <c r="P6" s="598"/>
      <c r="Q6" s="598"/>
      <c r="R6" s="17" t="s">
        <v>188</v>
      </c>
      <c r="S6" s="159"/>
    </row>
    <row r="7" spans="1:19" s="164" customFormat="1" ht="21.75" customHeight="1" x14ac:dyDescent="0.2">
      <c r="A7" s="163"/>
      <c r="B7" s="828" t="s">
        <v>372</v>
      </c>
      <c r="C7" s="830" t="s">
        <v>373</v>
      </c>
      <c r="D7" s="832" t="s">
        <v>6</v>
      </c>
      <c r="E7" s="834" t="s">
        <v>374</v>
      </c>
      <c r="F7" s="836" t="s">
        <v>11</v>
      </c>
      <c r="G7" s="836"/>
      <c r="H7" s="836"/>
      <c r="I7" s="836"/>
      <c r="J7" s="836"/>
      <c r="K7" s="836" t="s">
        <v>12</v>
      </c>
      <c r="L7" s="836"/>
      <c r="M7" s="836"/>
      <c r="N7" s="836"/>
      <c r="O7" s="836"/>
      <c r="P7" s="836"/>
      <c r="Q7" s="836"/>
      <c r="R7" s="837" t="s">
        <v>375</v>
      </c>
    </row>
    <row r="8" spans="1:19" s="164" customFormat="1" ht="16.5" customHeight="1" x14ac:dyDescent="0.2">
      <c r="A8" s="165"/>
      <c r="B8" s="829"/>
      <c r="C8" s="831"/>
      <c r="D8" s="833"/>
      <c r="E8" s="835"/>
      <c r="F8" s="823" t="s">
        <v>10</v>
      </c>
      <c r="G8" s="821" t="s">
        <v>376</v>
      </c>
      <c r="H8" s="823" t="s">
        <v>377</v>
      </c>
      <c r="I8" s="823"/>
      <c r="J8" s="821" t="s">
        <v>378</v>
      </c>
      <c r="K8" s="823" t="s">
        <v>10</v>
      </c>
      <c r="L8" s="784"/>
      <c r="M8" s="822" t="s">
        <v>379</v>
      </c>
      <c r="N8" s="785"/>
      <c r="O8" s="839" t="s">
        <v>377</v>
      </c>
      <c r="P8" s="840"/>
      <c r="Q8" s="821" t="s">
        <v>378</v>
      </c>
      <c r="R8" s="838"/>
    </row>
    <row r="9" spans="1:19" s="164" customFormat="1" ht="48.6" customHeight="1" thickBot="1" x14ac:dyDescent="0.25">
      <c r="A9" s="166"/>
      <c r="B9" s="829"/>
      <c r="C9" s="831"/>
      <c r="D9" s="833"/>
      <c r="E9" s="835"/>
      <c r="F9" s="824"/>
      <c r="G9" s="822"/>
      <c r="H9" s="785" t="s">
        <v>380</v>
      </c>
      <c r="I9" s="785" t="s">
        <v>381</v>
      </c>
      <c r="J9" s="822"/>
      <c r="K9" s="824"/>
      <c r="L9" s="167" t="s">
        <v>14</v>
      </c>
      <c r="M9" s="825"/>
      <c r="N9" s="167" t="s">
        <v>376</v>
      </c>
      <c r="O9" s="785" t="s">
        <v>380</v>
      </c>
      <c r="P9" s="785" t="s">
        <v>381</v>
      </c>
      <c r="Q9" s="822"/>
      <c r="R9" s="838"/>
    </row>
    <row r="10" spans="1:19" s="173" customFormat="1" ht="21" customHeight="1" thickBot="1" x14ac:dyDescent="0.25">
      <c r="A10" s="168"/>
      <c r="B10" s="169" t="s">
        <v>382</v>
      </c>
      <c r="C10" s="170" t="s">
        <v>383</v>
      </c>
      <c r="D10" s="555" t="s">
        <v>384</v>
      </c>
      <c r="E10" s="568">
        <v>4</v>
      </c>
      <c r="F10" s="171">
        <v>5</v>
      </c>
      <c r="G10" s="171">
        <v>6</v>
      </c>
      <c r="H10" s="171">
        <v>7</v>
      </c>
      <c r="I10" s="171">
        <v>8</v>
      </c>
      <c r="J10" s="171">
        <v>9</v>
      </c>
      <c r="K10" s="172">
        <v>10</v>
      </c>
      <c r="L10" s="172">
        <v>11</v>
      </c>
      <c r="M10" s="172">
        <v>12</v>
      </c>
      <c r="N10" s="172">
        <v>12</v>
      </c>
      <c r="O10" s="172">
        <v>13</v>
      </c>
      <c r="P10" s="172">
        <v>14</v>
      </c>
      <c r="Q10" s="172">
        <v>15</v>
      </c>
      <c r="R10" s="569">
        <v>16</v>
      </c>
    </row>
    <row r="11" spans="1:19" s="173" customFormat="1" ht="15.75" x14ac:dyDescent="0.2">
      <c r="A11" s="168"/>
      <c r="B11" s="174" t="s">
        <v>15</v>
      </c>
      <c r="C11" s="175"/>
      <c r="D11" s="556"/>
      <c r="E11" s="570" t="s">
        <v>683</v>
      </c>
      <c r="F11" s="176">
        <f>F12</f>
        <v>-490429</v>
      </c>
      <c r="G11" s="176">
        <f t="shared" ref="G11:R11" si="0">G12</f>
        <v>-490429</v>
      </c>
      <c r="H11" s="176">
        <f t="shared" si="0"/>
        <v>0</v>
      </c>
      <c r="I11" s="176">
        <f t="shared" si="0"/>
        <v>0</v>
      </c>
      <c r="J11" s="176">
        <f t="shared" si="0"/>
        <v>0</v>
      </c>
      <c r="K11" s="679">
        <f t="shared" si="0"/>
        <v>-776500</v>
      </c>
      <c r="L11" s="679">
        <f t="shared" si="0"/>
        <v>-838631</v>
      </c>
      <c r="M11" s="679">
        <f t="shared" si="0"/>
        <v>0</v>
      </c>
      <c r="N11" s="679">
        <f t="shared" si="0"/>
        <v>0</v>
      </c>
      <c r="O11" s="679">
        <f t="shared" si="0"/>
        <v>0</v>
      </c>
      <c r="P11" s="679">
        <f t="shared" si="0"/>
        <v>0</v>
      </c>
      <c r="Q11" s="679">
        <f t="shared" si="0"/>
        <v>-776500</v>
      </c>
      <c r="R11" s="680">
        <f t="shared" si="0"/>
        <v>-1266929</v>
      </c>
    </row>
    <row r="12" spans="1:19" s="164" customFormat="1" ht="15.75" x14ac:dyDescent="0.2">
      <c r="A12" s="177"/>
      <c r="B12" s="178" t="s">
        <v>385</v>
      </c>
      <c r="C12" s="179"/>
      <c r="D12" s="557"/>
      <c r="E12" s="571" t="s">
        <v>683</v>
      </c>
      <c r="F12" s="180">
        <f>F16+F18+F32+F33+F34+F35+F36+F37+F38+F39+F41+F42+F43+F44+F45+F46+F48+F52+F53+F55+F56+F57+F58+F60+F61+F62+F64+F66+F69+F73+F74+F75+F76+F77+F78+F79+F72+F67+F68+F26+F31+F19+F21+F54+F81+F63+F70+F65</f>
        <v>-490429</v>
      </c>
      <c r="G12" s="180">
        <f>G16+G18+G32+G33+G34+G35+G36+G37+G38+G39+G41+G42+G43+G44+G45+G46+G48+G52+G53+G55+G56+G57+G58+G60+G61+G62+G64+G66+G69+G73+G74+G75+G76+G77+G78+G79+G72+G67+G68+G26+G31+G19+G21+G54+G81+G63+G70+G65</f>
        <v>-490429</v>
      </c>
      <c r="H12" s="180">
        <f t="shared" ref="H12:J12" si="1">H16+H18+H32+H33+H34+H35+H36+H37+H38+H39+H41+H42+H43+H44+H45+H46+H48+H52+H53+H55+H56+H57+H58+H60+H61+H62+H64+H66+H69+H73+H74+H75+H76+H77+H78+H79+H72+H67+H68+H26+H31+H19+H21+H54+H81+H63+H70+H65</f>
        <v>0</v>
      </c>
      <c r="I12" s="180">
        <f t="shared" si="1"/>
        <v>0</v>
      </c>
      <c r="J12" s="180">
        <f t="shared" si="1"/>
        <v>0</v>
      </c>
      <c r="K12" s="180">
        <f>K16+K18+K32+K33+K34+K35+K36+K37+K38+K39+K41+K42+K43+K44+K45+K46+K48+K52+K53+K55+K56+K57+K58+K60+K61+K62+K64+K66+K69+K73+K74+K75+K76+K77+K78+K79+K72+K67+K68+K26+K31+K19+K21+K54+K81+K63+K70+K65+K59</f>
        <v>-776500</v>
      </c>
      <c r="L12" s="180">
        <f t="shared" ref="L12:R12" si="2">L16+L18+L32+L33+L34+L35+L36+L37+L38+L39+L41+L42+L43+L44+L45+L46+L48+L52+L53+L55+L56+L57+L58+L60+L61+L62+L64+L66+L69+L73+L74+L75+L76+L77+L78+L79+L72+L67+L68+L26+L31+L19+L21+L54+L81+L63+L70+L65+L59</f>
        <v>-838631</v>
      </c>
      <c r="M12" s="180">
        <f t="shared" si="2"/>
        <v>0</v>
      </c>
      <c r="N12" s="180">
        <f t="shared" si="2"/>
        <v>0</v>
      </c>
      <c r="O12" s="180">
        <f t="shared" si="2"/>
        <v>0</v>
      </c>
      <c r="P12" s="180">
        <f t="shared" si="2"/>
        <v>0</v>
      </c>
      <c r="Q12" s="180">
        <f t="shared" si="2"/>
        <v>-776500</v>
      </c>
      <c r="R12" s="180">
        <f t="shared" si="2"/>
        <v>-1266929</v>
      </c>
    </row>
    <row r="13" spans="1:19" s="164" customFormat="1" ht="15.75" hidden="1" customHeight="1" x14ac:dyDescent="0.2">
      <c r="A13" s="177"/>
      <c r="B13" s="178"/>
      <c r="C13" s="179"/>
      <c r="D13" s="557"/>
      <c r="E13" s="401" t="s">
        <v>386</v>
      </c>
      <c r="F13" s="182">
        <f t="shared" ref="F13:F30" si="3">G13+J13</f>
        <v>0</v>
      </c>
      <c r="G13" s="180"/>
      <c r="H13" s="180"/>
      <c r="I13" s="180"/>
      <c r="J13" s="180"/>
      <c r="K13" s="183">
        <f>N13+L13</f>
        <v>0</v>
      </c>
      <c r="L13" s="183"/>
      <c r="M13" s="183"/>
      <c r="N13" s="183"/>
      <c r="O13" s="183"/>
      <c r="P13" s="183"/>
      <c r="Q13" s="183"/>
      <c r="R13" s="184">
        <f t="shared" ref="R13:R101" si="4">F13+K13</f>
        <v>0</v>
      </c>
    </row>
    <row r="14" spans="1:19" s="164" customFormat="1" ht="15.75" hidden="1" customHeight="1" x14ac:dyDescent="0.2">
      <c r="A14" s="177"/>
      <c r="B14" s="178"/>
      <c r="C14" s="179"/>
      <c r="D14" s="557"/>
      <c r="E14" s="572" t="s">
        <v>1086</v>
      </c>
      <c r="F14" s="180">
        <f t="shared" si="3"/>
        <v>0</v>
      </c>
      <c r="G14" s="182">
        <f>G71</f>
        <v>0</v>
      </c>
      <c r="H14" s="182"/>
      <c r="I14" s="182"/>
      <c r="J14" s="182">
        <f t="shared" ref="J14:Q14" si="5">J80</f>
        <v>0</v>
      </c>
      <c r="K14" s="182">
        <f t="shared" si="5"/>
        <v>0</v>
      </c>
      <c r="L14" s="182">
        <f t="shared" si="5"/>
        <v>0</v>
      </c>
      <c r="M14" s="182">
        <f t="shared" si="5"/>
        <v>0</v>
      </c>
      <c r="N14" s="182">
        <f t="shared" si="5"/>
        <v>0</v>
      </c>
      <c r="O14" s="182">
        <f t="shared" si="5"/>
        <v>0</v>
      </c>
      <c r="P14" s="182">
        <f t="shared" si="5"/>
        <v>0</v>
      </c>
      <c r="Q14" s="182">
        <f t="shared" si="5"/>
        <v>0</v>
      </c>
      <c r="R14" s="185">
        <f t="shared" si="4"/>
        <v>0</v>
      </c>
    </row>
    <row r="15" spans="1:19" s="164" customFormat="1" ht="15.75" hidden="1" customHeight="1" x14ac:dyDescent="0.2">
      <c r="A15" s="177"/>
      <c r="B15" s="178"/>
      <c r="C15" s="179"/>
      <c r="D15" s="557"/>
      <c r="E15" s="572" t="s">
        <v>1087</v>
      </c>
      <c r="F15" s="180">
        <f>G15+J15</f>
        <v>0</v>
      </c>
      <c r="G15" s="182">
        <f>G28+G17+G49</f>
        <v>0</v>
      </c>
      <c r="H15" s="186"/>
      <c r="I15" s="186"/>
      <c r="J15" s="186">
        <f>J17+J51</f>
        <v>0</v>
      </c>
      <c r="K15" s="186">
        <f>K17+K51</f>
        <v>0</v>
      </c>
      <c r="L15" s="186"/>
      <c r="M15" s="186"/>
      <c r="N15" s="186"/>
      <c r="O15" s="186"/>
      <c r="P15" s="186"/>
      <c r="Q15" s="186"/>
      <c r="R15" s="185">
        <f t="shared" si="4"/>
        <v>0</v>
      </c>
    </row>
    <row r="16" spans="1:19" s="164" customFormat="1" ht="64.900000000000006" hidden="1" customHeight="1" x14ac:dyDescent="0.2">
      <c r="A16" s="177"/>
      <c r="B16" s="178" t="s">
        <v>17</v>
      </c>
      <c r="C16" s="187" t="s">
        <v>18</v>
      </c>
      <c r="D16" s="558" t="s">
        <v>19</v>
      </c>
      <c r="E16" s="572" t="s">
        <v>388</v>
      </c>
      <c r="F16" s="180">
        <f t="shared" si="3"/>
        <v>0</v>
      </c>
      <c r="G16" s="387"/>
      <c r="H16" s="182"/>
      <c r="I16" s="182"/>
      <c r="J16" s="182"/>
      <c r="K16" s="183">
        <f>N16+L16</f>
        <v>0</v>
      </c>
      <c r="L16" s="188">
        <v>0</v>
      </c>
      <c r="M16" s="188"/>
      <c r="N16" s="188"/>
      <c r="O16" s="188"/>
      <c r="P16" s="188"/>
      <c r="Q16" s="188">
        <v>0</v>
      </c>
      <c r="R16" s="185">
        <f t="shared" si="4"/>
        <v>0</v>
      </c>
    </row>
    <row r="17" spans="1:18" s="164" customFormat="1" ht="31.5" hidden="1" customHeight="1" x14ac:dyDescent="0.2">
      <c r="A17" s="177"/>
      <c r="B17" s="178"/>
      <c r="C17" s="187"/>
      <c r="D17" s="558"/>
      <c r="E17" s="401" t="s">
        <v>389</v>
      </c>
      <c r="F17" s="180">
        <f t="shared" si="3"/>
        <v>0</v>
      </c>
      <c r="G17" s="186"/>
      <c r="H17" s="182"/>
      <c r="I17" s="182"/>
      <c r="J17" s="182"/>
      <c r="K17" s="183"/>
      <c r="L17" s="188"/>
      <c r="M17" s="188"/>
      <c r="N17" s="188"/>
      <c r="O17" s="188"/>
      <c r="P17" s="188"/>
      <c r="Q17" s="188"/>
      <c r="R17" s="185">
        <f t="shared" si="4"/>
        <v>0</v>
      </c>
    </row>
    <row r="18" spans="1:18" s="164" customFormat="1" ht="15.75" x14ac:dyDescent="0.2">
      <c r="A18" s="177"/>
      <c r="B18" s="178" t="s">
        <v>23</v>
      </c>
      <c r="C18" s="187" t="s">
        <v>24</v>
      </c>
      <c r="D18" s="558" t="s">
        <v>25</v>
      </c>
      <c r="E18" s="572" t="s">
        <v>26</v>
      </c>
      <c r="F18" s="180">
        <f t="shared" si="3"/>
        <v>5000</v>
      </c>
      <c r="G18" s="182">
        <v>5000</v>
      </c>
      <c r="H18" s="182"/>
      <c r="I18" s="182"/>
      <c r="J18" s="182"/>
      <c r="K18" s="183">
        <f t="shared" ref="K18:K110" si="6">N18+L18</f>
        <v>0</v>
      </c>
      <c r="L18" s="188"/>
      <c r="M18" s="188"/>
      <c r="N18" s="188"/>
      <c r="O18" s="188"/>
      <c r="P18" s="188"/>
      <c r="Q18" s="188"/>
      <c r="R18" s="185">
        <f t="shared" si="4"/>
        <v>5000</v>
      </c>
    </row>
    <row r="19" spans="1:18" s="164" customFormat="1" ht="15.75" hidden="1" x14ac:dyDescent="0.2">
      <c r="A19" s="177"/>
      <c r="B19" s="681"/>
      <c r="C19" s="682"/>
      <c r="D19" s="683"/>
      <c r="E19" s="684"/>
      <c r="F19" s="685"/>
      <c r="G19" s="686"/>
      <c r="H19" s="686"/>
      <c r="I19" s="686"/>
      <c r="J19" s="182"/>
      <c r="K19" s="183"/>
      <c r="L19" s="188"/>
      <c r="M19" s="188"/>
      <c r="N19" s="188"/>
      <c r="O19" s="188"/>
      <c r="P19" s="188"/>
      <c r="Q19" s="188"/>
      <c r="R19" s="185">
        <f t="shared" si="4"/>
        <v>0</v>
      </c>
    </row>
    <row r="20" spans="1:18" s="164" customFormat="1" ht="15.75" hidden="1" x14ac:dyDescent="0.2">
      <c r="A20" s="177"/>
      <c r="B20" s="681"/>
      <c r="C20" s="682"/>
      <c r="D20" s="683"/>
      <c r="E20" s="684"/>
      <c r="F20" s="685"/>
      <c r="G20" s="686"/>
      <c r="H20" s="686"/>
      <c r="I20" s="686"/>
      <c r="J20" s="182"/>
      <c r="K20" s="183"/>
      <c r="L20" s="188"/>
      <c r="M20" s="188"/>
      <c r="N20" s="188"/>
      <c r="O20" s="188"/>
      <c r="P20" s="188"/>
      <c r="Q20" s="188"/>
      <c r="R20" s="185">
        <f t="shared" si="4"/>
        <v>0</v>
      </c>
    </row>
    <row r="21" spans="1:18" s="164" customFormat="1" ht="15.75" hidden="1" x14ac:dyDescent="0.2">
      <c r="A21" s="177"/>
      <c r="B21" s="681"/>
      <c r="C21" s="682"/>
      <c r="D21" s="683"/>
      <c r="E21" s="684"/>
      <c r="F21" s="685"/>
      <c r="G21" s="686"/>
      <c r="H21" s="686"/>
      <c r="I21" s="686"/>
      <c r="J21" s="182"/>
      <c r="K21" s="183"/>
      <c r="L21" s="188"/>
      <c r="M21" s="188"/>
      <c r="N21" s="188"/>
      <c r="O21" s="188"/>
      <c r="P21" s="188"/>
      <c r="Q21" s="188"/>
      <c r="R21" s="185">
        <f t="shared" si="4"/>
        <v>0</v>
      </c>
    </row>
    <row r="22" spans="1:18" s="164" customFormat="1" ht="15.75" hidden="1" x14ac:dyDescent="0.2">
      <c r="A22" s="177"/>
      <c r="B22" s="178"/>
      <c r="C22" s="187"/>
      <c r="D22" s="558"/>
      <c r="E22" s="573" t="s">
        <v>396</v>
      </c>
      <c r="F22" s="180"/>
      <c r="G22" s="182"/>
      <c r="H22" s="182"/>
      <c r="I22" s="182"/>
      <c r="J22" s="182"/>
      <c r="K22" s="183"/>
      <c r="L22" s="188"/>
      <c r="M22" s="188"/>
      <c r="N22" s="188"/>
      <c r="O22" s="188"/>
      <c r="P22" s="188"/>
      <c r="Q22" s="188"/>
      <c r="R22" s="185">
        <f t="shared" si="4"/>
        <v>0</v>
      </c>
    </row>
    <row r="23" spans="1:18" s="164" customFormat="1" ht="15.75" hidden="1" x14ac:dyDescent="0.2">
      <c r="A23" s="177"/>
      <c r="B23" s="178"/>
      <c r="C23" s="187"/>
      <c r="D23" s="558"/>
      <c r="E23" s="573" t="s">
        <v>387</v>
      </c>
      <c r="F23" s="180">
        <f t="shared" si="3"/>
        <v>0</v>
      </c>
      <c r="G23" s="182"/>
      <c r="H23" s="182"/>
      <c r="I23" s="182"/>
      <c r="J23" s="182"/>
      <c r="K23" s="183"/>
      <c r="L23" s="188"/>
      <c r="M23" s="188"/>
      <c r="N23" s="188"/>
      <c r="O23" s="188"/>
      <c r="P23" s="188"/>
      <c r="Q23" s="188"/>
      <c r="R23" s="185">
        <f t="shared" si="4"/>
        <v>0</v>
      </c>
    </row>
    <row r="24" spans="1:18" s="164" customFormat="1" ht="31.5" hidden="1" x14ac:dyDescent="0.2">
      <c r="A24" s="177"/>
      <c r="B24" s="178"/>
      <c r="C24" s="187"/>
      <c r="D24" s="558"/>
      <c r="E24" s="573" t="s">
        <v>397</v>
      </c>
      <c r="F24" s="180"/>
      <c r="G24" s="182"/>
      <c r="H24" s="182"/>
      <c r="I24" s="182"/>
      <c r="J24" s="182"/>
      <c r="K24" s="183"/>
      <c r="L24" s="188"/>
      <c r="M24" s="188"/>
      <c r="N24" s="188"/>
      <c r="O24" s="188"/>
      <c r="P24" s="188"/>
      <c r="Q24" s="188"/>
      <c r="R24" s="185">
        <f t="shared" si="4"/>
        <v>0</v>
      </c>
    </row>
    <row r="25" spans="1:18" s="164" customFormat="1" ht="31.5" hidden="1" x14ac:dyDescent="0.2">
      <c r="A25" s="177"/>
      <c r="B25" s="178"/>
      <c r="C25" s="187"/>
      <c r="D25" s="558"/>
      <c r="E25" s="573" t="s">
        <v>398</v>
      </c>
      <c r="F25" s="180">
        <f t="shared" si="3"/>
        <v>0</v>
      </c>
      <c r="G25" s="182"/>
      <c r="H25" s="182"/>
      <c r="I25" s="182"/>
      <c r="J25" s="182"/>
      <c r="K25" s="183"/>
      <c r="L25" s="188"/>
      <c r="M25" s="188"/>
      <c r="N25" s="188"/>
      <c r="O25" s="188"/>
      <c r="P25" s="188"/>
      <c r="Q25" s="188"/>
      <c r="R25" s="185">
        <f t="shared" si="4"/>
        <v>0</v>
      </c>
    </row>
    <row r="26" spans="1:18" s="164" customFormat="1" ht="43.5" hidden="1" customHeight="1" x14ac:dyDescent="0.2">
      <c r="A26" s="156"/>
      <c r="B26" s="191" t="s">
        <v>399</v>
      </c>
      <c r="C26" s="192" t="s">
        <v>400</v>
      </c>
      <c r="D26" s="560" t="s">
        <v>401</v>
      </c>
      <c r="E26" s="574" t="s">
        <v>402</v>
      </c>
      <c r="F26" s="193">
        <f t="shared" si="3"/>
        <v>0</v>
      </c>
      <c r="G26" s="194"/>
      <c r="H26" s="182"/>
      <c r="I26" s="182"/>
      <c r="J26" s="182"/>
      <c r="K26" s="183">
        <f t="shared" si="6"/>
        <v>0</v>
      </c>
      <c r="L26" s="188"/>
      <c r="M26" s="188"/>
      <c r="N26" s="188"/>
      <c r="O26" s="188"/>
      <c r="P26" s="188"/>
      <c r="Q26" s="188"/>
      <c r="R26" s="185">
        <f t="shared" si="4"/>
        <v>0</v>
      </c>
    </row>
    <row r="27" spans="1:18" s="164" customFormat="1" ht="15.75" hidden="1" x14ac:dyDescent="0.2">
      <c r="A27" s="156"/>
      <c r="B27" s="191"/>
      <c r="C27" s="192"/>
      <c r="D27" s="560"/>
      <c r="E27" s="575" t="s">
        <v>359</v>
      </c>
      <c r="F27" s="193"/>
      <c r="G27" s="194"/>
      <c r="H27" s="182"/>
      <c r="I27" s="182"/>
      <c r="J27" s="182"/>
      <c r="K27" s="183"/>
      <c r="L27" s="188"/>
      <c r="M27" s="188"/>
      <c r="N27" s="188"/>
      <c r="O27" s="188"/>
      <c r="P27" s="188"/>
      <c r="Q27" s="188"/>
      <c r="R27" s="185">
        <f t="shared" si="4"/>
        <v>0</v>
      </c>
    </row>
    <row r="28" spans="1:18" s="164" customFormat="1" ht="67.5" hidden="1" customHeight="1" x14ac:dyDescent="0.2">
      <c r="A28" s="156"/>
      <c r="B28" s="191"/>
      <c r="C28" s="192"/>
      <c r="D28" s="560"/>
      <c r="E28" s="574" t="s">
        <v>403</v>
      </c>
      <c r="F28" s="193">
        <f t="shared" si="3"/>
        <v>0</v>
      </c>
      <c r="G28" s="194"/>
      <c r="H28" s="182"/>
      <c r="I28" s="182"/>
      <c r="J28" s="182"/>
      <c r="K28" s="183">
        <f t="shared" si="6"/>
        <v>0</v>
      </c>
      <c r="L28" s="188"/>
      <c r="M28" s="188"/>
      <c r="N28" s="188"/>
      <c r="O28" s="188"/>
      <c r="P28" s="188"/>
      <c r="Q28" s="188"/>
      <c r="R28" s="185">
        <f t="shared" si="4"/>
        <v>0</v>
      </c>
    </row>
    <row r="29" spans="1:18" s="164" customFormat="1" ht="15.75" hidden="1" x14ac:dyDescent="0.2">
      <c r="A29" s="156"/>
      <c r="B29" s="191"/>
      <c r="C29" s="192"/>
      <c r="D29" s="560"/>
      <c r="E29" s="574" t="s">
        <v>404</v>
      </c>
      <c r="F29" s="193">
        <f t="shared" si="3"/>
        <v>0</v>
      </c>
      <c r="G29" s="194"/>
      <c r="H29" s="182"/>
      <c r="I29" s="182"/>
      <c r="J29" s="182"/>
      <c r="K29" s="183"/>
      <c r="L29" s="188"/>
      <c r="M29" s="188"/>
      <c r="N29" s="188"/>
      <c r="O29" s="188"/>
      <c r="P29" s="188"/>
      <c r="Q29" s="188"/>
      <c r="R29" s="185">
        <f t="shared" si="4"/>
        <v>0</v>
      </c>
    </row>
    <row r="30" spans="1:18" s="164" customFormat="1" ht="67.5" hidden="1" customHeight="1" x14ac:dyDescent="0.2">
      <c r="A30" s="156"/>
      <c r="B30" s="191"/>
      <c r="C30" s="192"/>
      <c r="D30" s="560"/>
      <c r="E30" s="574"/>
      <c r="F30" s="193">
        <f t="shared" si="3"/>
        <v>0</v>
      </c>
      <c r="G30" s="194"/>
      <c r="H30" s="182"/>
      <c r="I30" s="182"/>
      <c r="J30" s="182"/>
      <c r="K30" s="183"/>
      <c r="L30" s="188"/>
      <c r="M30" s="188"/>
      <c r="N30" s="188"/>
      <c r="O30" s="188"/>
      <c r="P30" s="188"/>
      <c r="Q30" s="188"/>
      <c r="R30" s="185">
        <f t="shared" si="4"/>
        <v>0</v>
      </c>
    </row>
    <row r="31" spans="1:18" s="164" customFormat="1" ht="40.5" hidden="1" customHeight="1" x14ac:dyDescent="0.2">
      <c r="A31" s="156"/>
      <c r="B31" s="191" t="s">
        <v>27</v>
      </c>
      <c r="C31" s="192" t="s">
        <v>28</v>
      </c>
      <c r="D31" s="560" t="s">
        <v>29</v>
      </c>
      <c r="E31" s="574" t="s">
        <v>405</v>
      </c>
      <c r="F31" s="193">
        <f>G31+J31</f>
        <v>0</v>
      </c>
      <c r="G31" s="194"/>
      <c r="H31" s="182"/>
      <c r="I31" s="182"/>
      <c r="J31" s="182"/>
      <c r="K31" s="183"/>
      <c r="L31" s="188"/>
      <c r="M31" s="188"/>
      <c r="N31" s="188"/>
      <c r="O31" s="188"/>
      <c r="P31" s="188"/>
      <c r="Q31" s="188"/>
      <c r="R31" s="185">
        <f t="shared" si="4"/>
        <v>0</v>
      </c>
    </row>
    <row r="32" spans="1:18" s="164" customFormat="1" ht="63" hidden="1" x14ac:dyDescent="0.2">
      <c r="A32" s="156"/>
      <c r="B32" s="195" t="s">
        <v>33</v>
      </c>
      <c r="C32" s="192" t="s">
        <v>34</v>
      </c>
      <c r="D32" s="560" t="s">
        <v>35</v>
      </c>
      <c r="E32" s="576" t="s">
        <v>406</v>
      </c>
      <c r="F32" s="193">
        <f t="shared" ref="F32:F84" si="7">G32+J32</f>
        <v>0</v>
      </c>
      <c r="G32" s="194"/>
      <c r="H32" s="194"/>
      <c r="I32" s="182"/>
      <c r="J32" s="196"/>
      <c r="K32" s="592">
        <f t="shared" si="6"/>
        <v>0</v>
      </c>
      <c r="L32" s="592">
        <f>L33</f>
        <v>0</v>
      </c>
      <c r="M32" s="592"/>
      <c r="N32" s="594"/>
      <c r="O32" s="592"/>
      <c r="P32" s="592"/>
      <c r="Q32" s="592"/>
      <c r="R32" s="536">
        <f t="shared" si="4"/>
        <v>0</v>
      </c>
    </row>
    <row r="33" spans="1:18" s="164" customFormat="1" ht="31.5" hidden="1" x14ac:dyDescent="0.2">
      <c r="A33" s="156"/>
      <c r="B33" s="195" t="s">
        <v>37</v>
      </c>
      <c r="C33" s="192" t="s">
        <v>38</v>
      </c>
      <c r="D33" s="560" t="s">
        <v>39</v>
      </c>
      <c r="E33" s="576" t="s">
        <v>40</v>
      </c>
      <c r="F33" s="193">
        <f t="shared" si="7"/>
        <v>0</v>
      </c>
      <c r="G33" s="194"/>
      <c r="H33" s="182"/>
      <c r="I33" s="182"/>
      <c r="J33" s="182"/>
      <c r="K33" s="183">
        <f t="shared" si="6"/>
        <v>0</v>
      </c>
      <c r="L33" s="188"/>
      <c r="M33" s="188"/>
      <c r="N33" s="188"/>
      <c r="O33" s="188"/>
      <c r="P33" s="188"/>
      <c r="Q33" s="188"/>
      <c r="R33" s="185">
        <f t="shared" si="4"/>
        <v>0</v>
      </c>
    </row>
    <row r="34" spans="1:18" s="164" customFormat="1" ht="15.75" hidden="1" x14ac:dyDescent="0.2">
      <c r="A34" s="156"/>
      <c r="B34" s="195"/>
      <c r="C34" s="192"/>
      <c r="D34" s="560"/>
      <c r="E34" s="577"/>
      <c r="F34" s="193">
        <f t="shared" si="7"/>
        <v>0</v>
      </c>
      <c r="G34" s="197"/>
      <c r="H34" s="196"/>
      <c r="I34" s="196"/>
      <c r="J34" s="196"/>
      <c r="K34" s="183">
        <f t="shared" si="6"/>
        <v>0</v>
      </c>
      <c r="L34" s="183"/>
      <c r="M34" s="183"/>
      <c r="N34" s="183"/>
      <c r="O34" s="183"/>
      <c r="P34" s="183"/>
      <c r="Q34" s="183"/>
      <c r="R34" s="185">
        <f t="shared" si="4"/>
        <v>0</v>
      </c>
    </row>
    <row r="35" spans="1:18" s="164" customFormat="1" ht="31.5" hidden="1" x14ac:dyDescent="0.2">
      <c r="A35" s="156"/>
      <c r="B35" s="195" t="s">
        <v>407</v>
      </c>
      <c r="C35" s="192" t="s">
        <v>408</v>
      </c>
      <c r="D35" s="560" t="s">
        <v>39</v>
      </c>
      <c r="E35" s="576" t="s">
        <v>409</v>
      </c>
      <c r="F35" s="193">
        <f t="shared" si="7"/>
        <v>0</v>
      </c>
      <c r="G35" s="194"/>
      <c r="H35" s="182"/>
      <c r="I35" s="182"/>
      <c r="J35" s="182"/>
      <c r="K35" s="183">
        <f t="shared" si="6"/>
        <v>0</v>
      </c>
      <c r="L35" s="188"/>
      <c r="M35" s="188"/>
      <c r="N35" s="188"/>
      <c r="O35" s="188"/>
      <c r="P35" s="188"/>
      <c r="Q35" s="188"/>
      <c r="R35" s="185">
        <f t="shared" si="4"/>
        <v>0</v>
      </c>
    </row>
    <row r="36" spans="1:18" s="164" customFormat="1" ht="15.75" hidden="1" x14ac:dyDescent="0.2">
      <c r="A36" s="156"/>
      <c r="B36" s="195" t="s">
        <v>41</v>
      </c>
      <c r="C36" s="192" t="s">
        <v>42</v>
      </c>
      <c r="D36" s="560" t="s">
        <v>39</v>
      </c>
      <c r="E36" s="576" t="s">
        <v>43</v>
      </c>
      <c r="F36" s="193">
        <f t="shared" si="7"/>
        <v>0</v>
      </c>
      <c r="G36" s="194"/>
      <c r="H36" s="182"/>
      <c r="I36" s="182"/>
      <c r="J36" s="182"/>
      <c r="K36" s="183"/>
      <c r="L36" s="188"/>
      <c r="M36" s="188"/>
      <c r="N36" s="188"/>
      <c r="O36" s="188"/>
      <c r="P36" s="188"/>
      <c r="Q36" s="188"/>
      <c r="R36" s="185">
        <f t="shared" si="4"/>
        <v>0</v>
      </c>
    </row>
    <row r="37" spans="1:18" s="164" customFormat="1" ht="63" hidden="1" x14ac:dyDescent="0.2">
      <c r="A37" s="156"/>
      <c r="B37" s="195" t="s">
        <v>46</v>
      </c>
      <c r="C37" s="192" t="s">
        <v>47</v>
      </c>
      <c r="D37" s="560" t="s">
        <v>39</v>
      </c>
      <c r="E37" s="576" t="s">
        <v>48</v>
      </c>
      <c r="F37" s="193">
        <f t="shared" si="7"/>
        <v>0</v>
      </c>
      <c r="G37" s="194"/>
      <c r="H37" s="182"/>
      <c r="I37" s="182"/>
      <c r="J37" s="182"/>
      <c r="K37" s="183">
        <f t="shared" si="6"/>
        <v>0</v>
      </c>
      <c r="L37" s="188"/>
      <c r="M37" s="188"/>
      <c r="N37" s="188"/>
      <c r="O37" s="188"/>
      <c r="P37" s="188"/>
      <c r="Q37" s="188"/>
      <c r="R37" s="185">
        <f t="shared" si="4"/>
        <v>0</v>
      </c>
    </row>
    <row r="38" spans="1:18" s="164" customFormat="1" ht="78.75" hidden="1" x14ac:dyDescent="0.2">
      <c r="A38" s="156"/>
      <c r="B38" s="195" t="s">
        <v>51</v>
      </c>
      <c r="C38" s="192">
        <v>3160</v>
      </c>
      <c r="D38" s="560" t="s">
        <v>53</v>
      </c>
      <c r="E38" s="574" t="s">
        <v>54</v>
      </c>
      <c r="F38" s="193">
        <f t="shared" si="7"/>
        <v>0</v>
      </c>
      <c r="G38" s="194"/>
      <c r="H38" s="182"/>
      <c r="I38" s="182"/>
      <c r="J38" s="182"/>
      <c r="K38" s="183">
        <f t="shared" si="6"/>
        <v>0</v>
      </c>
      <c r="L38" s="188"/>
      <c r="M38" s="188"/>
      <c r="N38" s="188"/>
      <c r="O38" s="188"/>
      <c r="P38" s="188"/>
      <c r="Q38" s="188"/>
      <c r="R38" s="185">
        <f t="shared" si="4"/>
        <v>0</v>
      </c>
    </row>
    <row r="39" spans="1:18" s="164" customFormat="1" ht="31.5" hidden="1" x14ac:dyDescent="0.2">
      <c r="A39" s="156"/>
      <c r="B39" s="198" t="s">
        <v>55</v>
      </c>
      <c r="C39" s="192" t="s">
        <v>56</v>
      </c>
      <c r="D39" s="560" t="s">
        <v>57</v>
      </c>
      <c r="E39" s="576" t="s">
        <v>58</v>
      </c>
      <c r="F39" s="193">
        <f t="shared" si="7"/>
        <v>0</v>
      </c>
      <c r="G39" s="199"/>
      <c r="H39" s="182"/>
      <c r="I39" s="182"/>
      <c r="J39" s="182"/>
      <c r="K39" s="183">
        <f t="shared" si="6"/>
        <v>0</v>
      </c>
      <c r="L39" s="188"/>
      <c r="M39" s="188"/>
      <c r="N39" s="188"/>
      <c r="O39" s="188"/>
      <c r="P39" s="188"/>
      <c r="Q39" s="188"/>
      <c r="R39" s="185">
        <f t="shared" si="4"/>
        <v>0</v>
      </c>
    </row>
    <row r="40" spans="1:18" s="164" customFormat="1" ht="47.25" hidden="1" x14ac:dyDescent="0.2">
      <c r="A40" s="177"/>
      <c r="B40" s="200" t="s">
        <v>410</v>
      </c>
      <c r="C40" s="187">
        <v>3192</v>
      </c>
      <c r="D40" s="558">
        <v>1030</v>
      </c>
      <c r="E40" s="401" t="s">
        <v>411</v>
      </c>
      <c r="F40" s="180">
        <f t="shared" si="7"/>
        <v>0</v>
      </c>
      <c r="G40" s="182"/>
      <c r="H40" s="182"/>
      <c r="I40" s="182"/>
      <c r="J40" s="182"/>
      <c r="K40" s="183"/>
      <c r="L40" s="188"/>
      <c r="M40" s="188"/>
      <c r="N40" s="188"/>
      <c r="O40" s="188"/>
      <c r="P40" s="188"/>
      <c r="Q40" s="188"/>
      <c r="R40" s="185">
        <f t="shared" si="4"/>
        <v>0</v>
      </c>
    </row>
    <row r="41" spans="1:18" s="164" customFormat="1" ht="15.75" hidden="1" x14ac:dyDescent="0.2">
      <c r="A41" s="177"/>
      <c r="B41" s="200" t="s">
        <v>59</v>
      </c>
      <c r="C41" s="187" t="s">
        <v>60</v>
      </c>
      <c r="D41" s="558" t="s">
        <v>61</v>
      </c>
      <c r="E41" s="401" t="s">
        <v>62</v>
      </c>
      <c r="F41" s="180">
        <f t="shared" si="7"/>
        <v>0</v>
      </c>
      <c r="G41" s="182"/>
      <c r="H41" s="182"/>
      <c r="I41" s="182"/>
      <c r="J41" s="182"/>
      <c r="K41" s="183">
        <f t="shared" si="6"/>
        <v>0</v>
      </c>
      <c r="L41" s="188"/>
      <c r="M41" s="188"/>
      <c r="N41" s="188"/>
      <c r="O41" s="188"/>
      <c r="P41" s="188"/>
      <c r="Q41" s="188"/>
      <c r="R41" s="185">
        <f t="shared" si="4"/>
        <v>0</v>
      </c>
    </row>
    <row r="42" spans="1:18" s="164" customFormat="1" ht="39.75" hidden="1" customHeight="1" x14ac:dyDescent="0.2">
      <c r="A42" s="177"/>
      <c r="B42" s="200" t="s">
        <v>412</v>
      </c>
      <c r="C42" s="187" t="s">
        <v>413</v>
      </c>
      <c r="D42" s="558" t="s">
        <v>65</v>
      </c>
      <c r="E42" s="401" t="s">
        <v>414</v>
      </c>
      <c r="F42" s="180">
        <f t="shared" si="7"/>
        <v>0</v>
      </c>
      <c r="G42" s="201"/>
      <c r="H42" s="201"/>
      <c r="I42" s="201"/>
      <c r="J42" s="182"/>
      <c r="K42" s="183">
        <f t="shared" si="6"/>
        <v>0</v>
      </c>
      <c r="L42" s="188"/>
      <c r="M42" s="188"/>
      <c r="N42" s="188"/>
      <c r="O42" s="188"/>
      <c r="P42" s="188"/>
      <c r="Q42" s="188"/>
      <c r="R42" s="185">
        <f t="shared" si="4"/>
        <v>0</v>
      </c>
    </row>
    <row r="43" spans="1:18" s="164" customFormat="1" ht="31.5" hidden="1" x14ac:dyDescent="0.2">
      <c r="A43" s="177"/>
      <c r="B43" s="200" t="s">
        <v>63</v>
      </c>
      <c r="C43" s="187" t="s">
        <v>64</v>
      </c>
      <c r="D43" s="558" t="s">
        <v>65</v>
      </c>
      <c r="E43" s="401" t="s">
        <v>66</v>
      </c>
      <c r="F43" s="180">
        <f t="shared" si="7"/>
        <v>0</v>
      </c>
      <c r="G43" s="182"/>
      <c r="H43" s="182"/>
      <c r="I43" s="182"/>
      <c r="J43" s="182"/>
      <c r="K43" s="183">
        <f t="shared" si="6"/>
        <v>0</v>
      </c>
      <c r="L43" s="188"/>
      <c r="M43" s="188"/>
      <c r="N43" s="188"/>
      <c r="O43" s="188"/>
      <c r="P43" s="188"/>
      <c r="Q43" s="188"/>
      <c r="R43" s="185">
        <f t="shared" si="4"/>
        <v>0</v>
      </c>
    </row>
    <row r="44" spans="1:18" s="164" customFormat="1" ht="15.75" hidden="1" x14ac:dyDescent="0.2">
      <c r="A44" s="177"/>
      <c r="B44" s="202"/>
      <c r="C44" s="179"/>
      <c r="D44" s="557"/>
      <c r="E44" s="578"/>
      <c r="F44" s="180">
        <f t="shared" si="7"/>
        <v>0</v>
      </c>
      <c r="G44" s="180"/>
      <c r="H44" s="182"/>
      <c r="I44" s="182"/>
      <c r="J44" s="182"/>
      <c r="K44" s="183">
        <f t="shared" si="6"/>
        <v>0</v>
      </c>
      <c r="L44" s="188"/>
      <c r="M44" s="188"/>
      <c r="N44" s="188"/>
      <c r="O44" s="188"/>
      <c r="P44" s="188"/>
      <c r="Q44" s="188"/>
      <c r="R44" s="185">
        <f t="shared" si="4"/>
        <v>0</v>
      </c>
    </row>
    <row r="45" spans="1:18" s="164" customFormat="1" ht="31.5" hidden="1" x14ac:dyDescent="0.2">
      <c r="A45" s="177"/>
      <c r="B45" s="200" t="s">
        <v>69</v>
      </c>
      <c r="C45" s="187" t="s">
        <v>70</v>
      </c>
      <c r="D45" s="558" t="s">
        <v>71</v>
      </c>
      <c r="E45" s="401" t="s">
        <v>72</v>
      </c>
      <c r="F45" s="180">
        <f t="shared" si="7"/>
        <v>0</v>
      </c>
      <c r="G45" s="182"/>
      <c r="H45" s="182"/>
      <c r="I45" s="182"/>
      <c r="J45" s="182"/>
      <c r="K45" s="183">
        <f t="shared" si="6"/>
        <v>0</v>
      </c>
      <c r="L45" s="188"/>
      <c r="M45" s="188"/>
      <c r="N45" s="188"/>
      <c r="O45" s="188"/>
      <c r="P45" s="188"/>
      <c r="Q45" s="188"/>
      <c r="R45" s="185">
        <f t="shared" si="4"/>
        <v>0</v>
      </c>
    </row>
    <row r="46" spans="1:18" s="164" customFormat="1" ht="15.75" hidden="1" x14ac:dyDescent="0.2">
      <c r="A46" s="177"/>
      <c r="B46" s="202"/>
      <c r="C46" s="179"/>
      <c r="D46" s="557"/>
      <c r="E46" s="578"/>
      <c r="F46" s="180"/>
      <c r="G46" s="180"/>
      <c r="H46" s="180"/>
      <c r="I46" s="180"/>
      <c r="J46" s="180"/>
      <c r="K46" s="183">
        <f t="shared" si="6"/>
        <v>0</v>
      </c>
      <c r="L46" s="183"/>
      <c r="M46" s="183"/>
      <c r="N46" s="183"/>
      <c r="O46" s="183"/>
      <c r="P46" s="183"/>
      <c r="Q46" s="183"/>
      <c r="R46" s="185">
        <f t="shared" si="4"/>
        <v>0</v>
      </c>
    </row>
    <row r="47" spans="1:18" s="164" customFormat="1" ht="39.75" hidden="1" customHeight="1" x14ac:dyDescent="0.2">
      <c r="A47" s="177"/>
      <c r="B47" s="200"/>
      <c r="C47" s="187"/>
      <c r="D47" s="558"/>
      <c r="E47" s="401" t="s">
        <v>389</v>
      </c>
      <c r="F47" s="180"/>
      <c r="G47" s="182"/>
      <c r="H47" s="182"/>
      <c r="I47" s="182"/>
      <c r="J47" s="182"/>
      <c r="K47" s="183">
        <f t="shared" si="6"/>
        <v>0</v>
      </c>
      <c r="L47" s="188"/>
      <c r="M47" s="188"/>
      <c r="N47" s="188"/>
      <c r="O47" s="188"/>
      <c r="P47" s="188"/>
      <c r="Q47" s="188"/>
      <c r="R47" s="185">
        <f t="shared" si="4"/>
        <v>0</v>
      </c>
    </row>
    <row r="48" spans="1:18" s="164" customFormat="1" ht="31.5" hidden="1" x14ac:dyDescent="0.2">
      <c r="A48" s="177"/>
      <c r="B48" s="200" t="s">
        <v>75</v>
      </c>
      <c r="C48" s="187" t="s">
        <v>76</v>
      </c>
      <c r="D48" s="558" t="s">
        <v>71</v>
      </c>
      <c r="E48" s="401" t="s">
        <v>77</v>
      </c>
      <c r="F48" s="180">
        <f t="shared" si="7"/>
        <v>0</v>
      </c>
      <c r="G48" s="182"/>
      <c r="H48" s="182"/>
      <c r="I48" s="182"/>
      <c r="J48" s="182"/>
      <c r="K48" s="183">
        <f t="shared" si="6"/>
        <v>0</v>
      </c>
      <c r="L48" s="188"/>
      <c r="M48" s="188"/>
      <c r="N48" s="188"/>
      <c r="O48" s="188"/>
      <c r="P48" s="188"/>
      <c r="Q48" s="188"/>
      <c r="R48" s="185">
        <f t="shared" si="4"/>
        <v>0</v>
      </c>
    </row>
    <row r="49" spans="1:18" s="164" customFormat="1" ht="30" hidden="1" customHeight="1" x14ac:dyDescent="0.2">
      <c r="A49" s="177"/>
      <c r="B49" s="203"/>
      <c r="C49" s="187"/>
      <c r="D49" s="561"/>
      <c r="E49" s="401" t="s">
        <v>415</v>
      </c>
      <c r="F49" s="180">
        <f t="shared" si="7"/>
        <v>0</v>
      </c>
      <c r="G49" s="182"/>
      <c r="H49" s="182"/>
      <c r="I49" s="182"/>
      <c r="J49" s="182"/>
      <c r="K49" s="183">
        <f t="shared" si="6"/>
        <v>0</v>
      </c>
      <c r="L49" s="188"/>
      <c r="M49" s="188"/>
      <c r="N49" s="188"/>
      <c r="O49" s="188"/>
      <c r="P49" s="188"/>
      <c r="Q49" s="188"/>
      <c r="R49" s="185">
        <f t="shared" si="4"/>
        <v>0</v>
      </c>
    </row>
    <row r="50" spans="1:18" s="164" customFormat="1" ht="53.25" hidden="1" customHeight="1" x14ac:dyDescent="0.2">
      <c r="A50" s="177"/>
      <c r="B50" s="203"/>
      <c r="C50" s="204"/>
      <c r="D50" s="561"/>
      <c r="E50" s="579"/>
      <c r="F50" s="180"/>
      <c r="G50" s="182"/>
      <c r="H50" s="182"/>
      <c r="I50" s="182"/>
      <c r="J50" s="182"/>
      <c r="K50" s="183">
        <f t="shared" si="6"/>
        <v>0</v>
      </c>
      <c r="L50" s="188"/>
      <c r="M50" s="188"/>
      <c r="N50" s="188"/>
      <c r="O50" s="188"/>
      <c r="P50" s="188"/>
      <c r="Q50" s="188"/>
      <c r="R50" s="185">
        <f t="shared" si="4"/>
        <v>0</v>
      </c>
    </row>
    <row r="51" spans="1:18" s="164" customFormat="1" ht="31.5" hidden="1" x14ac:dyDescent="0.2">
      <c r="A51" s="177"/>
      <c r="B51" s="202"/>
      <c r="C51" s="205"/>
      <c r="D51" s="562"/>
      <c r="E51" s="401" t="s">
        <v>389</v>
      </c>
      <c r="F51" s="180">
        <f t="shared" si="7"/>
        <v>0</v>
      </c>
      <c r="G51" s="186"/>
      <c r="H51" s="182"/>
      <c r="I51" s="182"/>
      <c r="J51" s="180"/>
      <c r="K51" s="183">
        <f t="shared" si="6"/>
        <v>0</v>
      </c>
      <c r="L51" s="183"/>
      <c r="M51" s="183"/>
      <c r="N51" s="183"/>
      <c r="O51" s="183"/>
      <c r="P51" s="183"/>
      <c r="Q51" s="188"/>
      <c r="R51" s="185">
        <f t="shared" si="4"/>
        <v>0</v>
      </c>
    </row>
    <row r="52" spans="1:18" s="164" customFormat="1" ht="31.5" x14ac:dyDescent="0.2">
      <c r="A52" s="177"/>
      <c r="B52" s="200" t="s">
        <v>78</v>
      </c>
      <c r="C52" s="187" t="s">
        <v>79</v>
      </c>
      <c r="D52" s="558" t="s">
        <v>80</v>
      </c>
      <c r="E52" s="401" t="s">
        <v>81</v>
      </c>
      <c r="F52" s="180">
        <f t="shared" si="7"/>
        <v>87750</v>
      </c>
      <c r="G52" s="182">
        <f>87750</f>
        <v>87750</v>
      </c>
      <c r="H52" s="182"/>
      <c r="I52" s="182"/>
      <c r="J52" s="182"/>
      <c r="K52" s="196">
        <f t="shared" si="6"/>
        <v>0</v>
      </c>
      <c r="L52" s="186"/>
      <c r="M52" s="186"/>
      <c r="N52" s="186"/>
      <c r="O52" s="186"/>
      <c r="P52" s="186"/>
      <c r="Q52" s="186"/>
      <c r="R52" s="185">
        <f t="shared" si="4"/>
        <v>87750</v>
      </c>
    </row>
    <row r="53" spans="1:18" s="164" customFormat="1" ht="15.75" hidden="1" x14ac:dyDescent="0.2">
      <c r="A53" s="177"/>
      <c r="B53" s="200" t="s">
        <v>84</v>
      </c>
      <c r="C53" s="187" t="s">
        <v>85</v>
      </c>
      <c r="D53" s="558" t="s">
        <v>80</v>
      </c>
      <c r="E53" s="401" t="s">
        <v>86</v>
      </c>
      <c r="F53" s="180">
        <f t="shared" si="7"/>
        <v>0</v>
      </c>
      <c r="G53" s="182"/>
      <c r="H53" s="182"/>
      <c r="I53" s="182"/>
      <c r="J53" s="182"/>
      <c r="K53" s="183">
        <f t="shared" si="6"/>
        <v>0</v>
      </c>
      <c r="L53" s="188"/>
      <c r="M53" s="188"/>
      <c r="N53" s="188"/>
      <c r="O53" s="188"/>
      <c r="P53" s="188"/>
      <c r="Q53" s="188"/>
      <c r="R53" s="185">
        <f t="shared" si="4"/>
        <v>0</v>
      </c>
    </row>
    <row r="54" spans="1:18" s="164" customFormat="1" ht="47.25" x14ac:dyDescent="0.2">
      <c r="A54" s="177"/>
      <c r="B54" s="200" t="s">
        <v>580</v>
      </c>
      <c r="C54" s="187" t="s">
        <v>640</v>
      </c>
      <c r="D54" s="558" t="s">
        <v>80</v>
      </c>
      <c r="E54" s="401" t="s">
        <v>639</v>
      </c>
      <c r="F54" s="180">
        <f t="shared" si="7"/>
        <v>254959</v>
      </c>
      <c r="G54" s="182">
        <f>169000+85959</f>
        <v>254959</v>
      </c>
      <c r="H54" s="182"/>
      <c r="I54" s="182"/>
      <c r="J54" s="182"/>
      <c r="K54" s="196">
        <f t="shared" si="6"/>
        <v>0</v>
      </c>
      <c r="L54" s="186"/>
      <c r="M54" s="188"/>
      <c r="N54" s="188"/>
      <c r="O54" s="188"/>
      <c r="P54" s="188"/>
      <c r="Q54" s="188"/>
      <c r="R54" s="185">
        <f t="shared" si="4"/>
        <v>254959</v>
      </c>
    </row>
    <row r="55" spans="1:18" s="164" customFormat="1" ht="15.75" x14ac:dyDescent="0.2">
      <c r="A55" s="177"/>
      <c r="B55" s="200" t="s">
        <v>87</v>
      </c>
      <c r="C55" s="187" t="s">
        <v>88</v>
      </c>
      <c r="D55" s="558" t="s">
        <v>80</v>
      </c>
      <c r="E55" s="401" t="s">
        <v>89</v>
      </c>
      <c r="F55" s="180">
        <f t="shared" si="7"/>
        <v>177975</v>
      </c>
      <c r="G55" s="182">
        <v>177975</v>
      </c>
      <c r="H55" s="182"/>
      <c r="I55" s="182"/>
      <c r="J55" s="182"/>
      <c r="K55" s="196">
        <f t="shared" si="6"/>
        <v>0</v>
      </c>
      <c r="L55" s="186"/>
      <c r="M55" s="186"/>
      <c r="N55" s="186"/>
      <c r="O55" s="186"/>
      <c r="P55" s="186"/>
      <c r="Q55" s="186"/>
      <c r="R55" s="185">
        <f t="shared" si="4"/>
        <v>177975</v>
      </c>
    </row>
    <row r="56" spans="1:18" s="164" customFormat="1" ht="94.5" x14ac:dyDescent="0.2">
      <c r="A56" s="177"/>
      <c r="B56" s="200" t="s">
        <v>416</v>
      </c>
      <c r="C56" s="187" t="s">
        <v>417</v>
      </c>
      <c r="D56" s="558" t="s">
        <v>98</v>
      </c>
      <c r="E56" s="401" t="s">
        <v>418</v>
      </c>
      <c r="F56" s="180"/>
      <c r="G56" s="180"/>
      <c r="H56" s="182"/>
      <c r="I56" s="182"/>
      <c r="J56" s="182"/>
      <c r="K56" s="183">
        <f t="shared" si="6"/>
        <v>0</v>
      </c>
      <c r="L56" s="188"/>
      <c r="M56" s="188"/>
      <c r="N56" s="188"/>
      <c r="O56" s="188"/>
      <c r="P56" s="188"/>
      <c r="Q56" s="188"/>
      <c r="R56" s="185">
        <f t="shared" si="4"/>
        <v>0</v>
      </c>
    </row>
    <row r="57" spans="1:18" s="164" customFormat="1" ht="31.5" x14ac:dyDescent="0.2">
      <c r="A57" s="177"/>
      <c r="B57" s="200" t="s">
        <v>96</v>
      </c>
      <c r="C57" s="187" t="s">
        <v>97</v>
      </c>
      <c r="D57" s="558" t="s">
        <v>98</v>
      </c>
      <c r="E57" s="401" t="s">
        <v>99</v>
      </c>
      <c r="F57" s="180">
        <f t="shared" si="7"/>
        <v>0</v>
      </c>
      <c r="G57" s="182"/>
      <c r="H57" s="182"/>
      <c r="I57" s="182"/>
      <c r="J57" s="182"/>
      <c r="K57" s="183">
        <f t="shared" si="6"/>
        <v>0</v>
      </c>
      <c r="L57" s="188"/>
      <c r="M57" s="188"/>
      <c r="N57" s="188"/>
      <c r="O57" s="188"/>
      <c r="P57" s="188"/>
      <c r="Q57" s="188"/>
      <c r="R57" s="185">
        <f t="shared" si="4"/>
        <v>0</v>
      </c>
    </row>
    <row r="58" spans="1:18" s="164" customFormat="1" ht="94.5" x14ac:dyDescent="0.2">
      <c r="A58" s="177"/>
      <c r="B58" s="200" t="s">
        <v>582</v>
      </c>
      <c r="C58" s="187" t="s">
        <v>1070</v>
      </c>
      <c r="D58" s="558" t="s">
        <v>1071</v>
      </c>
      <c r="E58" s="401" t="s">
        <v>1072</v>
      </c>
      <c r="F58" s="180">
        <f t="shared" si="7"/>
        <v>0</v>
      </c>
      <c r="G58" s="182"/>
      <c r="H58" s="182"/>
      <c r="I58" s="182"/>
      <c r="J58" s="182"/>
      <c r="K58" s="183">
        <f t="shared" si="6"/>
        <v>0</v>
      </c>
      <c r="L58" s="188"/>
      <c r="M58" s="188"/>
      <c r="N58" s="188"/>
      <c r="O58" s="188"/>
      <c r="P58" s="188"/>
      <c r="Q58" s="188"/>
      <c r="R58" s="185">
        <f t="shared" si="4"/>
        <v>0</v>
      </c>
    </row>
    <row r="59" spans="1:18" s="164" customFormat="1" ht="15.75" x14ac:dyDescent="0.2">
      <c r="A59" s="177"/>
      <c r="B59" s="200" t="s">
        <v>100</v>
      </c>
      <c r="C59" s="187" t="s">
        <v>101</v>
      </c>
      <c r="D59" s="558" t="s">
        <v>102</v>
      </c>
      <c r="E59" s="401" t="s">
        <v>103</v>
      </c>
      <c r="F59" s="180"/>
      <c r="G59" s="182"/>
      <c r="H59" s="182"/>
      <c r="I59" s="182"/>
      <c r="J59" s="182"/>
      <c r="K59" s="196">
        <v>62131</v>
      </c>
      <c r="L59" s="186"/>
      <c r="M59" s="186"/>
      <c r="N59" s="186"/>
      <c r="O59" s="186"/>
      <c r="P59" s="186"/>
      <c r="Q59" s="186">
        <v>62131</v>
      </c>
      <c r="R59" s="185">
        <f t="shared" si="4"/>
        <v>62131</v>
      </c>
    </row>
    <row r="60" spans="1:18" s="164" customFormat="1" ht="31.5" x14ac:dyDescent="0.2">
      <c r="A60" s="177"/>
      <c r="B60" s="200" t="s">
        <v>1080</v>
      </c>
      <c r="C60" s="187" t="s">
        <v>1081</v>
      </c>
      <c r="D60" s="558" t="s">
        <v>172</v>
      </c>
      <c r="E60" s="401" t="s">
        <v>1082</v>
      </c>
      <c r="F60" s="180"/>
      <c r="G60" s="182"/>
      <c r="H60" s="182"/>
      <c r="I60" s="182"/>
      <c r="J60" s="182"/>
      <c r="K60" s="196">
        <f>N60+L60</f>
        <v>210000</v>
      </c>
      <c r="L60" s="186">
        <v>210000</v>
      </c>
      <c r="M60" s="186"/>
      <c r="N60" s="186"/>
      <c r="O60" s="186"/>
      <c r="P60" s="186"/>
      <c r="Q60" s="186">
        <v>210000</v>
      </c>
      <c r="R60" s="185">
        <f t="shared" si="4"/>
        <v>210000</v>
      </c>
    </row>
    <row r="61" spans="1:18" s="164" customFormat="1" ht="15.75" hidden="1" x14ac:dyDescent="0.2">
      <c r="A61" s="177"/>
      <c r="B61" s="200" t="s">
        <v>419</v>
      </c>
      <c r="C61" s="187" t="s">
        <v>420</v>
      </c>
      <c r="D61" s="558" t="s">
        <v>172</v>
      </c>
      <c r="E61" s="401" t="s">
        <v>421</v>
      </c>
      <c r="F61" s="180">
        <f t="shared" si="7"/>
        <v>0</v>
      </c>
      <c r="G61" s="182"/>
      <c r="H61" s="182"/>
      <c r="I61" s="182"/>
      <c r="J61" s="182"/>
      <c r="K61" s="196">
        <f>N61+L61</f>
        <v>0</v>
      </c>
      <c r="L61" s="186"/>
      <c r="M61" s="186"/>
      <c r="N61" s="186"/>
      <c r="O61" s="186"/>
      <c r="P61" s="186"/>
      <c r="Q61" s="186"/>
      <c r="R61" s="185">
        <f t="shared" si="4"/>
        <v>0</v>
      </c>
    </row>
    <row r="62" spans="1:18" s="164" customFormat="1" ht="31.5" hidden="1" x14ac:dyDescent="0.2">
      <c r="A62" s="177"/>
      <c r="B62" s="200" t="s">
        <v>422</v>
      </c>
      <c r="C62" s="187" t="s">
        <v>423</v>
      </c>
      <c r="D62" s="558" t="s">
        <v>172</v>
      </c>
      <c r="E62" s="401" t="s">
        <v>424</v>
      </c>
      <c r="F62" s="180">
        <f>G62+J62</f>
        <v>0</v>
      </c>
      <c r="G62" s="182"/>
      <c r="H62" s="182"/>
      <c r="I62" s="182"/>
      <c r="J62" s="182"/>
      <c r="K62" s="196">
        <f>N62+L62</f>
        <v>0</v>
      </c>
      <c r="L62" s="186"/>
      <c r="M62" s="188"/>
      <c r="N62" s="188"/>
      <c r="O62" s="188"/>
      <c r="P62" s="188"/>
      <c r="Q62" s="186"/>
      <c r="R62" s="185">
        <f t="shared" si="4"/>
        <v>0</v>
      </c>
    </row>
    <row r="63" spans="1:18" s="164" customFormat="1" ht="47.25" x14ac:dyDescent="0.2">
      <c r="A63" s="177"/>
      <c r="B63" s="200" t="s">
        <v>546</v>
      </c>
      <c r="C63" s="187" t="s">
        <v>547</v>
      </c>
      <c r="D63" s="558" t="s">
        <v>116</v>
      </c>
      <c r="E63" s="401" t="s">
        <v>557</v>
      </c>
      <c r="F63" s="180">
        <f>G63+J63</f>
        <v>0</v>
      </c>
      <c r="G63" s="182"/>
      <c r="H63" s="182"/>
      <c r="I63" s="182"/>
      <c r="J63" s="182"/>
      <c r="K63" s="196">
        <f>N63+L63</f>
        <v>-1048631</v>
      </c>
      <c r="L63" s="186">
        <v>-1048631</v>
      </c>
      <c r="M63" s="188"/>
      <c r="N63" s="188"/>
      <c r="O63" s="188"/>
      <c r="P63" s="188"/>
      <c r="Q63" s="186">
        <v>-1048631</v>
      </c>
      <c r="R63" s="185">
        <f t="shared" si="4"/>
        <v>-1048631</v>
      </c>
    </row>
    <row r="64" spans="1:18" s="164" customFormat="1" ht="47.25" x14ac:dyDescent="0.2">
      <c r="A64" s="177"/>
      <c r="B64" s="200" t="s">
        <v>104</v>
      </c>
      <c r="C64" s="187" t="s">
        <v>105</v>
      </c>
      <c r="D64" s="558" t="s">
        <v>106</v>
      </c>
      <c r="E64" s="401" t="s">
        <v>107</v>
      </c>
      <c r="F64" s="180">
        <f t="shared" si="7"/>
        <v>-1065113</v>
      </c>
      <c r="G64" s="182">
        <f>-1065113</f>
        <v>-1065113</v>
      </c>
      <c r="H64" s="182"/>
      <c r="I64" s="182"/>
      <c r="J64" s="182"/>
      <c r="K64" s="196">
        <f t="shared" si="6"/>
        <v>0</v>
      </c>
      <c r="L64" s="186"/>
      <c r="M64" s="186"/>
      <c r="N64" s="186"/>
      <c r="O64" s="186"/>
      <c r="P64" s="186"/>
      <c r="Q64" s="186"/>
      <c r="R64" s="185">
        <f t="shared" si="4"/>
        <v>-1065113</v>
      </c>
    </row>
    <row r="65" spans="1:18" s="164" customFormat="1" ht="47.25" hidden="1" x14ac:dyDescent="0.2">
      <c r="A65" s="177"/>
      <c r="B65" s="200" t="s">
        <v>800</v>
      </c>
      <c r="C65" s="187" t="s">
        <v>801</v>
      </c>
      <c r="D65" s="558" t="s">
        <v>802</v>
      </c>
      <c r="E65" s="401" t="s">
        <v>803</v>
      </c>
      <c r="F65" s="180">
        <f t="shared" si="7"/>
        <v>0</v>
      </c>
      <c r="G65" s="182"/>
      <c r="H65" s="182"/>
      <c r="I65" s="182"/>
      <c r="J65" s="182"/>
      <c r="K65" s="183"/>
      <c r="L65" s="188"/>
      <c r="M65" s="188"/>
      <c r="N65" s="188"/>
      <c r="O65" s="188"/>
      <c r="P65" s="188"/>
      <c r="Q65" s="188"/>
      <c r="R65" s="185">
        <f t="shared" si="4"/>
        <v>0</v>
      </c>
    </row>
    <row r="66" spans="1:18" s="164" customFormat="1" ht="31.5" hidden="1" x14ac:dyDescent="0.2">
      <c r="A66" s="177"/>
      <c r="B66" s="200" t="s">
        <v>108</v>
      </c>
      <c r="C66" s="187" t="s">
        <v>109</v>
      </c>
      <c r="D66" s="558" t="s">
        <v>110</v>
      </c>
      <c r="E66" s="401" t="s">
        <v>111</v>
      </c>
      <c r="F66" s="180">
        <f t="shared" si="7"/>
        <v>0</v>
      </c>
      <c r="G66" s="182"/>
      <c r="H66" s="182"/>
      <c r="I66" s="182"/>
      <c r="J66" s="186"/>
      <c r="K66" s="183">
        <f t="shared" si="6"/>
        <v>0</v>
      </c>
      <c r="L66" s="188"/>
      <c r="M66" s="188"/>
      <c r="N66" s="188"/>
      <c r="O66" s="188"/>
      <c r="P66" s="188"/>
      <c r="Q66" s="188"/>
      <c r="R66" s="185">
        <f t="shared" si="4"/>
        <v>0</v>
      </c>
    </row>
    <row r="67" spans="1:18" s="164" customFormat="1" ht="31.5" hidden="1" x14ac:dyDescent="0.2">
      <c r="A67" s="177"/>
      <c r="B67" s="200" t="s">
        <v>114</v>
      </c>
      <c r="C67" s="187" t="s">
        <v>115</v>
      </c>
      <c r="D67" s="558" t="s">
        <v>116</v>
      </c>
      <c r="E67" s="401" t="s">
        <v>117</v>
      </c>
      <c r="F67" s="180">
        <f t="shared" si="7"/>
        <v>0</v>
      </c>
      <c r="G67" s="182"/>
      <c r="H67" s="182"/>
      <c r="I67" s="182"/>
      <c r="J67" s="186"/>
      <c r="K67" s="196">
        <f t="shared" si="6"/>
        <v>0</v>
      </c>
      <c r="L67" s="186"/>
      <c r="M67" s="188"/>
      <c r="N67" s="188"/>
      <c r="O67" s="188"/>
      <c r="P67" s="188"/>
      <c r="Q67" s="186"/>
      <c r="R67" s="185">
        <f t="shared" si="4"/>
        <v>0</v>
      </c>
    </row>
    <row r="68" spans="1:18" s="164" customFormat="1" ht="65.25" hidden="1" customHeight="1" x14ac:dyDescent="0.2">
      <c r="A68" s="177"/>
      <c r="B68" s="200" t="s">
        <v>118</v>
      </c>
      <c r="C68" s="187" t="s">
        <v>119</v>
      </c>
      <c r="D68" s="558" t="s">
        <v>116</v>
      </c>
      <c r="E68" s="401" t="s">
        <v>120</v>
      </c>
      <c r="F68" s="180">
        <f t="shared" si="7"/>
        <v>0</v>
      </c>
      <c r="G68" s="182"/>
      <c r="H68" s="182"/>
      <c r="I68" s="182"/>
      <c r="J68" s="186"/>
      <c r="K68" s="196">
        <f t="shared" si="6"/>
        <v>0</v>
      </c>
      <c r="L68" s="186"/>
      <c r="M68" s="188"/>
      <c r="N68" s="188"/>
      <c r="O68" s="188"/>
      <c r="P68" s="188"/>
      <c r="Q68" s="186"/>
      <c r="R68" s="185">
        <f t="shared" si="4"/>
        <v>0</v>
      </c>
    </row>
    <row r="69" spans="1:18" s="164" customFormat="1" ht="31.5" hidden="1" x14ac:dyDescent="0.2">
      <c r="A69" s="177"/>
      <c r="B69" s="200" t="s">
        <v>121</v>
      </c>
      <c r="C69" s="187" t="s">
        <v>122</v>
      </c>
      <c r="D69" s="558" t="s">
        <v>116</v>
      </c>
      <c r="E69" s="401" t="s">
        <v>123</v>
      </c>
      <c r="F69" s="180">
        <f t="shared" si="7"/>
        <v>0</v>
      </c>
      <c r="G69" s="182"/>
      <c r="H69" s="182"/>
      <c r="I69" s="182"/>
      <c r="J69" s="186"/>
      <c r="K69" s="183">
        <f t="shared" si="6"/>
        <v>0</v>
      </c>
      <c r="L69" s="188"/>
      <c r="M69" s="188"/>
      <c r="N69" s="188"/>
      <c r="O69" s="188"/>
      <c r="P69" s="188"/>
      <c r="Q69" s="188"/>
      <c r="R69" s="185">
        <f t="shared" si="4"/>
        <v>0</v>
      </c>
    </row>
    <row r="70" spans="1:18" s="164" customFormat="1" ht="15.75" x14ac:dyDescent="0.2">
      <c r="A70" s="177"/>
      <c r="B70" s="200" t="s">
        <v>775</v>
      </c>
      <c r="C70" s="187" t="s">
        <v>780</v>
      </c>
      <c r="D70" s="558" t="s">
        <v>116</v>
      </c>
      <c r="E70" s="401" t="s">
        <v>781</v>
      </c>
      <c r="F70" s="180">
        <f t="shared" si="7"/>
        <v>49000</v>
      </c>
      <c r="G70" s="182">
        <v>49000</v>
      </c>
      <c r="H70" s="182"/>
      <c r="I70" s="182"/>
      <c r="J70" s="186"/>
      <c r="K70" s="196">
        <f t="shared" si="6"/>
        <v>0</v>
      </c>
      <c r="L70" s="186"/>
      <c r="M70" s="188"/>
      <c r="N70" s="188"/>
      <c r="O70" s="188"/>
      <c r="P70" s="188"/>
      <c r="Q70" s="186"/>
      <c r="R70" s="185">
        <f>F70+K70</f>
        <v>49000</v>
      </c>
    </row>
    <row r="71" spans="1:18" s="164" customFormat="1" ht="31.5" hidden="1" x14ac:dyDescent="0.2">
      <c r="A71" s="177"/>
      <c r="B71" s="200"/>
      <c r="C71" s="187"/>
      <c r="D71" s="558"/>
      <c r="E71" s="401" t="s">
        <v>820</v>
      </c>
      <c r="F71" s="180">
        <f t="shared" si="7"/>
        <v>0</v>
      </c>
      <c r="G71" s="182"/>
      <c r="H71" s="182"/>
      <c r="I71" s="182"/>
      <c r="J71" s="186"/>
      <c r="K71" s="183"/>
      <c r="L71" s="188"/>
      <c r="M71" s="188"/>
      <c r="N71" s="188"/>
      <c r="O71" s="188"/>
      <c r="P71" s="188"/>
      <c r="Q71" s="188"/>
      <c r="R71" s="185">
        <f t="shared" si="4"/>
        <v>0</v>
      </c>
    </row>
    <row r="72" spans="1:18" s="164" customFormat="1" ht="42" hidden="1" customHeight="1" x14ac:dyDescent="0.2">
      <c r="A72" s="177"/>
      <c r="B72" s="200" t="s">
        <v>124</v>
      </c>
      <c r="C72" s="187" t="s">
        <v>125</v>
      </c>
      <c r="D72" s="558" t="s">
        <v>126</v>
      </c>
      <c r="E72" s="401" t="s">
        <v>127</v>
      </c>
      <c r="F72" s="180">
        <f t="shared" si="7"/>
        <v>0</v>
      </c>
      <c r="G72" s="182"/>
      <c r="H72" s="182"/>
      <c r="I72" s="182"/>
      <c r="J72" s="186"/>
      <c r="K72" s="183"/>
      <c r="L72" s="188"/>
      <c r="M72" s="188"/>
      <c r="N72" s="188"/>
      <c r="O72" s="188"/>
      <c r="P72" s="188"/>
      <c r="Q72" s="188"/>
      <c r="R72" s="185">
        <f t="shared" si="4"/>
        <v>0</v>
      </c>
    </row>
    <row r="73" spans="1:18" s="164" customFormat="1" ht="15.75" hidden="1" x14ac:dyDescent="0.2">
      <c r="A73" s="177"/>
      <c r="B73" s="200" t="s">
        <v>128</v>
      </c>
      <c r="C73" s="187" t="s">
        <v>129</v>
      </c>
      <c r="D73" s="558" t="s">
        <v>126</v>
      </c>
      <c r="E73" s="401" t="s">
        <v>130</v>
      </c>
      <c r="F73" s="180">
        <f t="shared" si="7"/>
        <v>0</v>
      </c>
      <c r="G73" s="182"/>
      <c r="H73" s="182"/>
      <c r="I73" s="182"/>
      <c r="J73" s="186"/>
      <c r="K73" s="183">
        <f t="shared" si="6"/>
        <v>0</v>
      </c>
      <c r="L73" s="188"/>
      <c r="M73" s="188"/>
      <c r="N73" s="188"/>
      <c r="O73" s="188"/>
      <c r="P73" s="188"/>
      <c r="Q73" s="188"/>
      <c r="R73" s="185">
        <f t="shared" si="4"/>
        <v>0</v>
      </c>
    </row>
    <row r="74" spans="1:18" s="164" customFormat="1" ht="15.75" hidden="1" x14ac:dyDescent="0.2">
      <c r="A74" s="177"/>
      <c r="B74" s="200" t="s">
        <v>425</v>
      </c>
      <c r="C74" s="187" t="s">
        <v>426</v>
      </c>
      <c r="D74" s="558" t="s">
        <v>427</v>
      </c>
      <c r="E74" s="580" t="s">
        <v>428</v>
      </c>
      <c r="F74" s="180">
        <f t="shared" si="7"/>
        <v>0</v>
      </c>
      <c r="G74" s="182"/>
      <c r="H74" s="182"/>
      <c r="I74" s="182"/>
      <c r="J74" s="186"/>
      <c r="K74" s="183">
        <f t="shared" si="6"/>
        <v>0</v>
      </c>
      <c r="L74" s="188"/>
      <c r="M74" s="188"/>
      <c r="N74" s="188"/>
      <c r="O74" s="188"/>
      <c r="P74" s="188"/>
      <c r="Q74" s="188"/>
      <c r="R74" s="185">
        <f t="shared" si="4"/>
        <v>0</v>
      </c>
    </row>
    <row r="75" spans="1:18" s="164" customFormat="1" ht="15.75" hidden="1" x14ac:dyDescent="0.2">
      <c r="A75" s="177"/>
      <c r="B75" s="200"/>
      <c r="C75" s="187"/>
      <c r="D75" s="561"/>
      <c r="E75" s="581"/>
      <c r="F75" s="180"/>
      <c r="G75" s="180"/>
      <c r="H75" s="180"/>
      <c r="I75" s="180"/>
      <c r="J75" s="196"/>
      <c r="K75" s="183">
        <f t="shared" si="6"/>
        <v>0</v>
      </c>
      <c r="L75" s="183"/>
      <c r="M75" s="183"/>
      <c r="N75" s="183"/>
      <c r="O75" s="183"/>
      <c r="P75" s="183">
        <f t="shared" ref="P75:P84" si="8">O75</f>
        <v>0</v>
      </c>
      <c r="Q75" s="183"/>
      <c r="R75" s="185">
        <f t="shared" si="4"/>
        <v>0</v>
      </c>
    </row>
    <row r="76" spans="1:18" s="164" customFormat="1" ht="31.5" hidden="1" x14ac:dyDescent="0.2">
      <c r="A76" s="177"/>
      <c r="B76" s="200" t="s">
        <v>133</v>
      </c>
      <c r="C76" s="187" t="s">
        <v>134</v>
      </c>
      <c r="D76" s="558" t="s">
        <v>135</v>
      </c>
      <c r="E76" s="401" t="s">
        <v>136</v>
      </c>
      <c r="F76" s="180">
        <f t="shared" si="7"/>
        <v>0</v>
      </c>
      <c r="G76" s="182"/>
      <c r="H76" s="182"/>
      <c r="I76" s="182"/>
      <c r="J76" s="182"/>
      <c r="K76" s="592">
        <f t="shared" si="6"/>
        <v>0</v>
      </c>
      <c r="L76" s="594"/>
      <c r="M76" s="594"/>
      <c r="N76" s="594"/>
      <c r="O76" s="678"/>
      <c r="P76" s="678">
        <f t="shared" si="8"/>
        <v>0</v>
      </c>
      <c r="Q76" s="678"/>
      <c r="R76" s="536">
        <f t="shared" si="4"/>
        <v>0</v>
      </c>
    </row>
    <row r="77" spans="1:18" s="164" customFormat="1" ht="15" hidden="1" customHeight="1" x14ac:dyDescent="0.2">
      <c r="A77" s="177"/>
      <c r="B77" s="200" t="s">
        <v>137</v>
      </c>
      <c r="C77" s="187" t="s">
        <v>138</v>
      </c>
      <c r="D77" s="558" t="s">
        <v>139</v>
      </c>
      <c r="E77" s="401" t="s">
        <v>140</v>
      </c>
      <c r="F77" s="180">
        <f t="shared" si="7"/>
        <v>0</v>
      </c>
      <c r="G77" s="182"/>
      <c r="H77" s="182"/>
      <c r="I77" s="182"/>
      <c r="J77" s="186"/>
      <c r="K77" s="183">
        <f t="shared" si="6"/>
        <v>0</v>
      </c>
      <c r="L77" s="188"/>
      <c r="M77" s="188"/>
      <c r="N77" s="188"/>
      <c r="O77" s="188"/>
      <c r="P77" s="188">
        <f t="shared" si="8"/>
        <v>0</v>
      </c>
      <c r="Q77" s="188"/>
      <c r="R77" s="185">
        <f t="shared" si="4"/>
        <v>0</v>
      </c>
    </row>
    <row r="78" spans="1:18" s="164" customFormat="1" ht="15.75" hidden="1" x14ac:dyDescent="0.2">
      <c r="A78" s="177"/>
      <c r="B78" s="200"/>
      <c r="C78" s="187"/>
      <c r="D78" s="558"/>
      <c r="E78" s="401"/>
      <c r="F78" s="186"/>
      <c r="G78" s="186"/>
      <c r="H78" s="182"/>
      <c r="I78" s="182"/>
      <c r="J78" s="182"/>
      <c r="K78" s="183">
        <f t="shared" si="6"/>
        <v>0</v>
      </c>
      <c r="L78" s="188"/>
      <c r="M78" s="188"/>
      <c r="N78" s="188"/>
      <c r="O78" s="188"/>
      <c r="P78" s="188">
        <f t="shared" si="8"/>
        <v>0</v>
      </c>
      <c r="Q78" s="188">
        <f>O78</f>
        <v>0</v>
      </c>
      <c r="R78" s="185">
        <f t="shared" si="4"/>
        <v>0</v>
      </c>
    </row>
    <row r="79" spans="1:18" s="164" customFormat="1" ht="47.25" hidden="1" x14ac:dyDescent="0.2">
      <c r="A79" s="177"/>
      <c r="B79" s="200" t="s">
        <v>429</v>
      </c>
      <c r="C79" s="187" t="s">
        <v>430</v>
      </c>
      <c r="D79" s="558" t="s">
        <v>24</v>
      </c>
      <c r="E79" s="401" t="s">
        <v>431</v>
      </c>
      <c r="F79" s="180">
        <f t="shared" si="7"/>
        <v>0</v>
      </c>
      <c r="G79" s="206"/>
      <c r="H79" s="182"/>
      <c r="I79" s="182"/>
      <c r="J79" s="182"/>
      <c r="K79" s="183">
        <f t="shared" si="6"/>
        <v>0</v>
      </c>
      <c r="L79" s="188"/>
      <c r="M79" s="188"/>
      <c r="N79" s="188"/>
      <c r="O79" s="188"/>
      <c r="P79" s="188">
        <f t="shared" si="8"/>
        <v>0</v>
      </c>
      <c r="Q79" s="188">
        <f>O79</f>
        <v>0</v>
      </c>
      <c r="R79" s="185">
        <f t="shared" si="4"/>
        <v>0</v>
      </c>
    </row>
    <row r="80" spans="1:18" s="164" customFormat="1" ht="31.5" hidden="1" x14ac:dyDescent="0.2">
      <c r="A80" s="177"/>
      <c r="B80" s="200"/>
      <c r="C80" s="187"/>
      <c r="D80" s="558"/>
      <c r="E80" s="401" t="s">
        <v>432</v>
      </c>
      <c r="F80" s="180">
        <f t="shared" si="7"/>
        <v>0</v>
      </c>
      <c r="G80" s="206"/>
      <c r="H80" s="182"/>
      <c r="I80" s="182"/>
      <c r="J80" s="182"/>
      <c r="K80" s="183">
        <f t="shared" si="6"/>
        <v>0</v>
      </c>
      <c r="L80" s="188"/>
      <c r="M80" s="188"/>
      <c r="N80" s="188"/>
      <c r="O80" s="188"/>
      <c r="P80" s="188">
        <f t="shared" si="8"/>
        <v>0</v>
      </c>
      <c r="Q80" s="188"/>
      <c r="R80" s="185">
        <f t="shared" si="4"/>
        <v>0</v>
      </c>
    </row>
    <row r="81" spans="1:19" s="164" customFormat="1" ht="47.25" hidden="1" x14ac:dyDescent="0.2">
      <c r="A81" s="177"/>
      <c r="B81" s="200" t="s">
        <v>594</v>
      </c>
      <c r="C81" s="187" t="s">
        <v>701</v>
      </c>
      <c r="D81" s="558" t="s">
        <v>24</v>
      </c>
      <c r="E81" s="582" t="s">
        <v>705</v>
      </c>
      <c r="F81" s="180">
        <f t="shared" si="7"/>
        <v>0</v>
      </c>
      <c r="G81" s="182"/>
      <c r="H81" s="182"/>
      <c r="I81" s="182"/>
      <c r="J81" s="182"/>
      <c r="K81" s="196">
        <f t="shared" si="6"/>
        <v>0</v>
      </c>
      <c r="L81" s="186"/>
      <c r="M81" s="186"/>
      <c r="N81" s="186"/>
      <c r="O81" s="186"/>
      <c r="P81" s="186">
        <f t="shared" si="8"/>
        <v>0</v>
      </c>
      <c r="Q81" s="186"/>
      <c r="R81" s="185">
        <f t="shared" si="4"/>
        <v>0</v>
      </c>
    </row>
    <row r="82" spans="1:19" s="164" customFormat="1" ht="15" hidden="1" customHeight="1" x14ac:dyDescent="0.2">
      <c r="A82" s="177"/>
      <c r="B82" s="207" t="s">
        <v>433</v>
      </c>
      <c r="C82" s="187"/>
      <c r="D82" s="558"/>
      <c r="E82" s="582"/>
      <c r="F82" s="180">
        <f t="shared" si="7"/>
        <v>0</v>
      </c>
      <c r="G82" s="182"/>
      <c r="H82" s="182"/>
      <c r="I82" s="182"/>
      <c r="J82" s="182"/>
      <c r="K82" s="183">
        <f t="shared" si="6"/>
        <v>0</v>
      </c>
      <c r="L82" s="188"/>
      <c r="M82" s="188"/>
      <c r="N82" s="188"/>
      <c r="O82" s="188"/>
      <c r="P82" s="188">
        <f t="shared" si="8"/>
        <v>0</v>
      </c>
      <c r="Q82" s="188"/>
      <c r="R82" s="185">
        <f t="shared" si="4"/>
        <v>0</v>
      </c>
    </row>
    <row r="83" spans="1:19" s="164" customFormat="1" ht="15" hidden="1" customHeight="1" x14ac:dyDescent="0.2">
      <c r="A83" s="177"/>
      <c r="B83" s="207"/>
      <c r="C83" s="187"/>
      <c r="D83" s="558"/>
      <c r="E83" s="582"/>
      <c r="F83" s="180">
        <f t="shared" si="7"/>
        <v>0</v>
      </c>
      <c r="G83" s="182"/>
      <c r="H83" s="182"/>
      <c r="I83" s="182"/>
      <c r="J83" s="182"/>
      <c r="K83" s="183">
        <f t="shared" si="6"/>
        <v>0</v>
      </c>
      <c r="L83" s="188"/>
      <c r="M83" s="188"/>
      <c r="N83" s="188"/>
      <c r="O83" s="188"/>
      <c r="P83" s="188">
        <f t="shared" si="8"/>
        <v>0</v>
      </c>
      <c r="Q83" s="188"/>
      <c r="R83" s="185">
        <f t="shared" si="4"/>
        <v>0</v>
      </c>
    </row>
    <row r="84" spans="1:19" s="164" customFormat="1" ht="15" hidden="1" customHeight="1" x14ac:dyDescent="0.2">
      <c r="A84" s="177"/>
      <c r="B84" s="207"/>
      <c r="C84" s="187"/>
      <c r="D84" s="558"/>
      <c r="E84" s="582"/>
      <c r="F84" s="180">
        <f t="shared" si="7"/>
        <v>0</v>
      </c>
      <c r="G84" s="182"/>
      <c r="H84" s="182"/>
      <c r="I84" s="182"/>
      <c r="J84" s="182"/>
      <c r="K84" s="183">
        <f t="shared" si="6"/>
        <v>0</v>
      </c>
      <c r="L84" s="188"/>
      <c r="M84" s="188"/>
      <c r="N84" s="188"/>
      <c r="O84" s="188"/>
      <c r="P84" s="188">
        <f t="shared" si="8"/>
        <v>0</v>
      </c>
      <c r="Q84" s="188"/>
      <c r="R84" s="185">
        <f t="shared" si="4"/>
        <v>0</v>
      </c>
    </row>
    <row r="85" spans="1:19" s="164" customFormat="1" ht="15" hidden="1" customHeight="1" x14ac:dyDescent="0.2">
      <c r="A85" s="177"/>
      <c r="B85" s="208"/>
      <c r="C85" s="189" t="s">
        <v>295</v>
      </c>
      <c r="D85" s="559"/>
      <c r="E85" s="583"/>
      <c r="F85" s="190">
        <f t="shared" ref="F85:R85" si="9">SUM(F16:F84)-F17-F28-F49</f>
        <v>-490429</v>
      </c>
      <c r="G85" s="190">
        <f t="shared" si="9"/>
        <v>-490429</v>
      </c>
      <c r="H85" s="190">
        <f t="shared" si="9"/>
        <v>0</v>
      </c>
      <c r="I85" s="190">
        <f t="shared" si="9"/>
        <v>0</v>
      </c>
      <c r="J85" s="190">
        <f t="shared" si="9"/>
        <v>0</v>
      </c>
      <c r="K85" s="190">
        <f t="shared" si="9"/>
        <v>-776500</v>
      </c>
      <c r="L85" s="190">
        <f t="shared" si="9"/>
        <v>-838631</v>
      </c>
      <c r="M85" s="190">
        <f t="shared" si="9"/>
        <v>0</v>
      </c>
      <c r="N85" s="190">
        <f t="shared" si="9"/>
        <v>0</v>
      </c>
      <c r="O85" s="190">
        <f t="shared" si="9"/>
        <v>0</v>
      </c>
      <c r="P85" s="190">
        <f t="shared" si="9"/>
        <v>0</v>
      </c>
      <c r="Q85" s="190">
        <f t="shared" si="9"/>
        <v>-776500</v>
      </c>
      <c r="R85" s="584">
        <f t="shared" si="9"/>
        <v>-1266929</v>
      </c>
    </row>
    <row r="86" spans="1:19" s="164" customFormat="1" ht="15.75" hidden="1" x14ac:dyDescent="0.2">
      <c r="A86" s="177"/>
      <c r="B86" s="209"/>
      <c r="C86" s="187"/>
      <c r="D86" s="558"/>
      <c r="E86" s="401"/>
      <c r="F86" s="182">
        <f t="shared" ref="F86:Q86" si="10">F12-F85</f>
        <v>0</v>
      </c>
      <c r="G86" s="182">
        <f t="shared" si="10"/>
        <v>0</v>
      </c>
      <c r="H86" s="182">
        <f t="shared" si="10"/>
        <v>0</v>
      </c>
      <c r="I86" s="182">
        <f t="shared" si="10"/>
        <v>0</v>
      </c>
      <c r="J86" s="182">
        <f t="shared" si="10"/>
        <v>0</v>
      </c>
      <c r="K86" s="182">
        <f t="shared" si="10"/>
        <v>0</v>
      </c>
      <c r="L86" s="182">
        <f t="shared" si="10"/>
        <v>0</v>
      </c>
      <c r="M86" s="182">
        <f t="shared" si="10"/>
        <v>0</v>
      </c>
      <c r="N86" s="182">
        <f t="shared" si="10"/>
        <v>0</v>
      </c>
      <c r="O86" s="182">
        <f t="shared" si="10"/>
        <v>0</v>
      </c>
      <c r="P86" s="182">
        <f t="shared" si="10"/>
        <v>0</v>
      </c>
      <c r="Q86" s="182">
        <f t="shared" si="10"/>
        <v>0</v>
      </c>
      <c r="R86" s="185">
        <f t="shared" si="4"/>
        <v>0</v>
      </c>
    </row>
    <row r="87" spans="1:19" s="164" customFormat="1" ht="31.5" x14ac:dyDescent="0.2">
      <c r="A87" s="177"/>
      <c r="B87" s="178" t="s">
        <v>141</v>
      </c>
      <c r="C87" s="187"/>
      <c r="D87" s="558"/>
      <c r="E87" s="571" t="s">
        <v>434</v>
      </c>
      <c r="F87" s="180">
        <f>F88</f>
        <v>1049850</v>
      </c>
      <c r="G87" s="180">
        <f t="shared" ref="G87:R87" si="11">G88</f>
        <v>1049850</v>
      </c>
      <c r="H87" s="180">
        <f t="shared" si="11"/>
        <v>0</v>
      </c>
      <c r="I87" s="180">
        <f t="shared" si="11"/>
        <v>999656</v>
      </c>
      <c r="J87" s="180">
        <f t="shared" si="11"/>
        <v>0</v>
      </c>
      <c r="K87" s="180">
        <f t="shared" si="11"/>
        <v>1091210</v>
      </c>
      <c r="L87" s="180">
        <f t="shared" si="11"/>
        <v>1091210</v>
      </c>
      <c r="M87" s="180">
        <f t="shared" si="11"/>
        <v>0</v>
      </c>
      <c r="N87" s="180">
        <f t="shared" si="11"/>
        <v>0</v>
      </c>
      <c r="O87" s="180">
        <f t="shared" si="11"/>
        <v>0</v>
      </c>
      <c r="P87" s="180">
        <f t="shared" si="11"/>
        <v>0</v>
      </c>
      <c r="Q87" s="180">
        <f t="shared" si="11"/>
        <v>1091210</v>
      </c>
      <c r="R87" s="185">
        <f t="shared" si="11"/>
        <v>2141060</v>
      </c>
    </row>
    <row r="88" spans="1:19" s="164" customFormat="1" ht="31.5" x14ac:dyDescent="0.2">
      <c r="A88" s="177"/>
      <c r="B88" s="178" t="s">
        <v>435</v>
      </c>
      <c r="C88" s="187" t="s">
        <v>438</v>
      </c>
      <c r="D88" s="558"/>
      <c r="E88" s="571" t="s">
        <v>434</v>
      </c>
      <c r="F88" s="180">
        <f t="shared" ref="F88" si="12">F93+F95+F99+F100+F101+F109+F102+F105+F110+F112+F92+F96+F111+F113+F114+F106+F107+F104+F98</f>
        <v>1049850</v>
      </c>
      <c r="G88" s="180">
        <f>G93+G95+G99+G100+G101+G109+G102+G105+G110+G112+G92+G96+G111+G113+G114+G106+G107+G104+G98</f>
        <v>1049850</v>
      </c>
      <c r="H88" s="180">
        <f t="shared" ref="H88:R88" si="13">H93+H95+H99+H100+H101+H109+H102+H105+H110+H112+H92+H96+H111+H113+H114+H106+H107+H104+H98</f>
        <v>0</v>
      </c>
      <c r="I88" s="180">
        <f t="shared" si="13"/>
        <v>999656</v>
      </c>
      <c r="J88" s="180">
        <f t="shared" si="13"/>
        <v>0</v>
      </c>
      <c r="K88" s="180">
        <f t="shared" si="13"/>
        <v>1091210</v>
      </c>
      <c r="L88" s="180">
        <f t="shared" si="13"/>
        <v>1091210</v>
      </c>
      <c r="M88" s="180">
        <f t="shared" si="13"/>
        <v>0</v>
      </c>
      <c r="N88" s="180">
        <f t="shared" si="13"/>
        <v>0</v>
      </c>
      <c r="O88" s="180">
        <f t="shared" si="13"/>
        <v>0</v>
      </c>
      <c r="P88" s="180">
        <f t="shared" si="13"/>
        <v>0</v>
      </c>
      <c r="Q88" s="180">
        <f t="shared" si="13"/>
        <v>1091210</v>
      </c>
      <c r="R88" s="185">
        <f t="shared" si="13"/>
        <v>2141060</v>
      </c>
      <c r="S88" s="211">
        <f>H88+O88</f>
        <v>0</v>
      </c>
    </row>
    <row r="89" spans="1:19" s="164" customFormat="1" ht="31.5" x14ac:dyDescent="0.2">
      <c r="A89" s="177"/>
      <c r="B89" s="178"/>
      <c r="C89" s="187"/>
      <c r="D89" s="558"/>
      <c r="E89" s="401" t="s">
        <v>820</v>
      </c>
      <c r="F89" s="196">
        <f t="shared" ref="F89:J89" si="14">F107</f>
        <v>0</v>
      </c>
      <c r="G89" s="196">
        <f t="shared" si="14"/>
        <v>0</v>
      </c>
      <c r="H89" s="196">
        <f t="shared" si="14"/>
        <v>0</v>
      </c>
      <c r="I89" s="196">
        <f t="shared" si="14"/>
        <v>0</v>
      </c>
      <c r="J89" s="196">
        <f t="shared" si="14"/>
        <v>0</v>
      </c>
      <c r="K89" s="196">
        <f>K107</f>
        <v>895500</v>
      </c>
      <c r="L89" s="196">
        <f t="shared" ref="L89:R89" si="15">L107</f>
        <v>895500</v>
      </c>
      <c r="M89" s="196">
        <f t="shared" si="15"/>
        <v>0</v>
      </c>
      <c r="N89" s="196">
        <f t="shared" si="15"/>
        <v>0</v>
      </c>
      <c r="O89" s="196">
        <f t="shared" si="15"/>
        <v>0</v>
      </c>
      <c r="P89" s="196">
        <f t="shared" si="15"/>
        <v>0</v>
      </c>
      <c r="Q89" s="196">
        <f t="shared" si="15"/>
        <v>895500</v>
      </c>
      <c r="R89" s="788">
        <f t="shared" si="15"/>
        <v>895500</v>
      </c>
      <c r="S89" s="164">
        <f>S88/R88*100</f>
        <v>0</v>
      </c>
    </row>
    <row r="90" spans="1:19" s="164" customFormat="1" ht="47.25" hidden="1" x14ac:dyDescent="0.2">
      <c r="A90" s="177"/>
      <c r="B90" s="178"/>
      <c r="C90" s="187"/>
      <c r="D90" s="558"/>
      <c r="E90" s="401" t="s">
        <v>439</v>
      </c>
      <c r="F90" s="180">
        <f>G90+J90</f>
        <v>0</v>
      </c>
      <c r="G90" s="180">
        <f>G111+G110</f>
        <v>0</v>
      </c>
      <c r="H90" s="180"/>
      <c r="I90" s="180">
        <f>I103</f>
        <v>0</v>
      </c>
      <c r="J90" s="182"/>
      <c r="K90" s="196">
        <f t="shared" si="6"/>
        <v>0</v>
      </c>
      <c r="L90" s="180">
        <f t="shared" ref="L90:Q90" si="16">L111</f>
        <v>0</v>
      </c>
      <c r="M90" s="180">
        <f t="shared" si="16"/>
        <v>0</v>
      </c>
      <c r="N90" s="180">
        <f t="shared" si="16"/>
        <v>0</v>
      </c>
      <c r="O90" s="180">
        <f t="shared" si="16"/>
        <v>0</v>
      </c>
      <c r="P90" s="180">
        <f t="shared" si="16"/>
        <v>0</v>
      </c>
      <c r="Q90" s="180">
        <f t="shared" si="16"/>
        <v>0</v>
      </c>
      <c r="R90" s="185">
        <f t="shared" si="4"/>
        <v>0</v>
      </c>
    </row>
    <row r="91" spans="1:19" s="164" customFormat="1" ht="63" hidden="1" x14ac:dyDescent="0.2">
      <c r="A91" s="177"/>
      <c r="B91" s="178"/>
      <c r="C91" s="187"/>
      <c r="D91" s="558"/>
      <c r="E91" s="401" t="s">
        <v>440</v>
      </c>
      <c r="F91" s="180">
        <f t="shared" ref="F91:Q91" si="17">F97+F94</f>
        <v>0</v>
      </c>
      <c r="G91" s="180">
        <f t="shared" si="17"/>
        <v>0</v>
      </c>
      <c r="H91" s="180">
        <f t="shared" si="17"/>
        <v>0</v>
      </c>
      <c r="I91" s="180">
        <f t="shared" si="17"/>
        <v>0</v>
      </c>
      <c r="J91" s="180">
        <f t="shared" si="17"/>
        <v>0</v>
      </c>
      <c r="K91" s="180">
        <f t="shared" si="17"/>
        <v>0</v>
      </c>
      <c r="L91" s="180">
        <f t="shared" si="17"/>
        <v>0</v>
      </c>
      <c r="M91" s="180">
        <f t="shared" si="17"/>
        <v>0</v>
      </c>
      <c r="N91" s="180">
        <f t="shared" si="17"/>
        <v>0</v>
      </c>
      <c r="O91" s="180">
        <f t="shared" si="17"/>
        <v>0</v>
      </c>
      <c r="P91" s="180">
        <f t="shared" si="17"/>
        <v>0</v>
      </c>
      <c r="Q91" s="180">
        <f t="shared" si="17"/>
        <v>0</v>
      </c>
      <c r="R91" s="185">
        <f t="shared" si="4"/>
        <v>0</v>
      </c>
    </row>
    <row r="92" spans="1:19" s="164" customFormat="1" ht="47.25" hidden="1" x14ac:dyDescent="0.2">
      <c r="A92" s="177"/>
      <c r="B92" s="209"/>
      <c r="C92" s="210" t="s">
        <v>436</v>
      </c>
      <c r="D92" s="563" t="s">
        <v>19</v>
      </c>
      <c r="E92" s="585" t="s">
        <v>437</v>
      </c>
      <c r="F92" s="180"/>
      <c r="G92" s="180"/>
      <c r="H92" s="180"/>
      <c r="I92" s="180"/>
      <c r="J92" s="180"/>
      <c r="K92" s="180"/>
      <c r="L92" s="180"/>
      <c r="M92" s="180"/>
      <c r="N92" s="180"/>
      <c r="O92" s="180"/>
      <c r="P92" s="180"/>
      <c r="Q92" s="180"/>
      <c r="R92" s="185">
        <f t="shared" si="4"/>
        <v>0</v>
      </c>
    </row>
    <row r="93" spans="1:19" s="164" customFormat="1" ht="15.75" x14ac:dyDescent="0.2">
      <c r="A93" s="177"/>
      <c r="B93" s="209" t="s">
        <v>143</v>
      </c>
      <c r="C93" s="204" t="s">
        <v>53</v>
      </c>
      <c r="D93" s="561" t="s">
        <v>144</v>
      </c>
      <c r="E93" s="401" t="s">
        <v>441</v>
      </c>
      <c r="F93" s="180">
        <f t="shared" ref="F93:F105" si="18">G93+J93</f>
        <v>199000</v>
      </c>
      <c r="G93" s="182">
        <v>199000</v>
      </c>
      <c r="H93" s="182"/>
      <c r="I93" s="182"/>
      <c r="J93" s="182"/>
      <c r="K93" s="196">
        <f t="shared" si="6"/>
        <v>0</v>
      </c>
      <c r="L93" s="186"/>
      <c r="M93" s="186"/>
      <c r="N93" s="186"/>
      <c r="O93" s="186"/>
      <c r="P93" s="186"/>
      <c r="Q93" s="186"/>
      <c r="R93" s="185">
        <f t="shared" si="4"/>
        <v>199000</v>
      </c>
    </row>
    <row r="94" spans="1:19" s="164" customFormat="1" ht="63" hidden="1" x14ac:dyDescent="0.2">
      <c r="A94" s="177"/>
      <c r="B94" s="209"/>
      <c r="C94" s="204"/>
      <c r="D94" s="561"/>
      <c r="E94" s="401" t="s">
        <v>440</v>
      </c>
      <c r="F94" s="180">
        <f>G94+J94</f>
        <v>0</v>
      </c>
      <c r="G94" s="212"/>
      <c r="H94" s="182"/>
      <c r="I94" s="182"/>
      <c r="J94" s="182"/>
      <c r="K94" s="196">
        <f t="shared" si="6"/>
        <v>0</v>
      </c>
      <c r="L94" s="186"/>
      <c r="M94" s="186"/>
      <c r="N94" s="186"/>
      <c r="O94" s="186"/>
      <c r="P94" s="186"/>
      <c r="Q94" s="186"/>
      <c r="R94" s="185">
        <f t="shared" si="4"/>
        <v>0</v>
      </c>
    </row>
    <row r="95" spans="1:19" s="164" customFormat="1" ht="31.5" x14ac:dyDescent="0.2">
      <c r="A95" s="177"/>
      <c r="B95" s="200" t="s">
        <v>146</v>
      </c>
      <c r="C95" s="204" t="s">
        <v>147</v>
      </c>
      <c r="D95" s="561" t="s">
        <v>148</v>
      </c>
      <c r="E95" s="401" t="s">
        <v>442</v>
      </c>
      <c r="F95" s="180">
        <f t="shared" si="18"/>
        <v>1016864</v>
      </c>
      <c r="G95" s="182">
        <f>1016864</f>
        <v>1016864</v>
      </c>
      <c r="H95" s="182"/>
      <c r="I95" s="182">
        <v>999656</v>
      </c>
      <c r="J95" s="182"/>
      <c r="K95" s="196">
        <f t="shared" si="6"/>
        <v>17792</v>
      </c>
      <c r="L95" s="186">
        <v>17792</v>
      </c>
      <c r="M95" s="186"/>
      <c r="N95" s="186"/>
      <c r="O95" s="186"/>
      <c r="P95" s="186"/>
      <c r="Q95" s="186">
        <v>17792</v>
      </c>
      <c r="R95" s="185">
        <f t="shared" si="4"/>
        <v>1034656</v>
      </c>
    </row>
    <row r="96" spans="1:19" s="164" customFormat="1" ht="31.5" hidden="1" x14ac:dyDescent="0.2">
      <c r="A96" s="177"/>
      <c r="B96" s="198" t="s">
        <v>443</v>
      </c>
      <c r="C96" s="213" t="s">
        <v>444</v>
      </c>
      <c r="D96" s="564" t="s">
        <v>148</v>
      </c>
      <c r="E96" s="576" t="s">
        <v>442</v>
      </c>
      <c r="F96" s="592">
        <f t="shared" si="18"/>
        <v>0</v>
      </c>
      <c r="G96" s="593"/>
      <c r="H96" s="594"/>
      <c r="I96" s="595"/>
      <c r="J96" s="595"/>
      <c r="K96" s="592">
        <f t="shared" si="6"/>
        <v>0</v>
      </c>
      <c r="L96" s="594"/>
      <c r="M96" s="594"/>
      <c r="N96" s="594"/>
      <c r="O96" s="594"/>
      <c r="P96" s="594"/>
      <c r="Q96" s="594"/>
      <c r="R96" s="536">
        <f t="shared" si="4"/>
        <v>0</v>
      </c>
    </row>
    <row r="97" spans="1:18" s="164" customFormat="1" ht="63" hidden="1" customHeight="1" x14ac:dyDescent="0.2">
      <c r="A97" s="177"/>
      <c r="B97" s="200"/>
      <c r="C97" s="204"/>
      <c r="D97" s="561"/>
      <c r="E97" s="401" t="s">
        <v>440</v>
      </c>
      <c r="F97" s="180">
        <f t="shared" si="18"/>
        <v>0</v>
      </c>
      <c r="G97" s="212"/>
      <c r="H97" s="182"/>
      <c r="I97" s="182"/>
      <c r="J97" s="182"/>
      <c r="K97" s="196">
        <f>N97+L97</f>
        <v>0</v>
      </c>
      <c r="L97" s="186"/>
      <c r="M97" s="186"/>
      <c r="N97" s="186"/>
      <c r="O97" s="186"/>
      <c r="P97" s="186"/>
      <c r="Q97" s="186"/>
      <c r="R97" s="185">
        <f t="shared" si="4"/>
        <v>0</v>
      </c>
    </row>
    <row r="98" spans="1:18" s="164" customFormat="1" ht="31.5" x14ac:dyDescent="0.2">
      <c r="A98" s="177"/>
      <c r="B98" s="198" t="s">
        <v>1064</v>
      </c>
      <c r="C98" s="213" t="s">
        <v>1069</v>
      </c>
      <c r="D98" s="564" t="s">
        <v>148</v>
      </c>
      <c r="E98" s="576" t="s">
        <v>442</v>
      </c>
      <c r="F98" s="180">
        <f t="shared" si="18"/>
        <v>-177918</v>
      </c>
      <c r="G98" s="212">
        <v>-177918</v>
      </c>
      <c r="H98" s="182"/>
      <c r="I98" s="182"/>
      <c r="J98" s="182"/>
      <c r="K98" s="196">
        <f>N98+L98</f>
        <v>177918</v>
      </c>
      <c r="L98" s="186">
        <v>177918</v>
      </c>
      <c r="M98" s="186"/>
      <c r="N98" s="186"/>
      <c r="O98" s="186"/>
      <c r="P98" s="186"/>
      <c r="Q98" s="186">
        <v>177918</v>
      </c>
      <c r="R98" s="185">
        <f t="shared" si="4"/>
        <v>0</v>
      </c>
    </row>
    <row r="99" spans="1:18" s="164" customFormat="1" ht="47.25" x14ac:dyDescent="0.2">
      <c r="A99" s="177"/>
      <c r="B99" s="200" t="s">
        <v>150</v>
      </c>
      <c r="C99" s="204" t="s">
        <v>29</v>
      </c>
      <c r="D99" s="561" t="s">
        <v>151</v>
      </c>
      <c r="E99" s="401" t="s">
        <v>152</v>
      </c>
      <c r="F99" s="180">
        <f t="shared" si="18"/>
        <v>10000</v>
      </c>
      <c r="G99" s="182">
        <v>10000</v>
      </c>
      <c r="H99" s="182"/>
      <c r="I99" s="182"/>
      <c r="J99" s="182"/>
      <c r="K99" s="196">
        <f t="shared" si="6"/>
        <v>0</v>
      </c>
      <c r="L99" s="186"/>
      <c r="M99" s="186"/>
      <c r="N99" s="186"/>
      <c r="O99" s="186"/>
      <c r="P99" s="186"/>
      <c r="Q99" s="186"/>
      <c r="R99" s="185">
        <f t="shared" si="4"/>
        <v>10000</v>
      </c>
    </row>
    <row r="100" spans="1:18" s="164" customFormat="1" ht="15.6" customHeight="1" x14ac:dyDescent="0.2">
      <c r="A100" s="177"/>
      <c r="B100" s="691" t="s">
        <v>153</v>
      </c>
      <c r="C100" s="655" t="s">
        <v>154</v>
      </c>
      <c r="D100" s="692" t="s">
        <v>155</v>
      </c>
      <c r="E100" s="588" t="s">
        <v>156</v>
      </c>
      <c r="F100" s="180">
        <f t="shared" si="18"/>
        <v>31904</v>
      </c>
      <c r="G100" s="182">
        <v>31904</v>
      </c>
      <c r="H100" s="182"/>
      <c r="I100" s="182"/>
      <c r="J100" s="182"/>
      <c r="K100" s="196">
        <f t="shared" si="6"/>
        <v>0</v>
      </c>
      <c r="L100" s="186"/>
      <c r="M100" s="186"/>
      <c r="N100" s="186"/>
      <c r="O100" s="186"/>
      <c r="P100" s="186"/>
      <c r="Q100" s="186"/>
      <c r="R100" s="185">
        <f t="shared" si="4"/>
        <v>31904</v>
      </c>
    </row>
    <row r="101" spans="1:18" s="164" customFormat="1" ht="15.6" customHeight="1" x14ac:dyDescent="0.2">
      <c r="A101" s="177"/>
      <c r="B101" s="691" t="s">
        <v>157</v>
      </c>
      <c r="C101" s="655" t="s">
        <v>158</v>
      </c>
      <c r="D101" s="692" t="s">
        <v>155</v>
      </c>
      <c r="E101" s="588" t="s">
        <v>159</v>
      </c>
      <c r="F101" s="180">
        <f t="shared" si="18"/>
        <v>-30000</v>
      </c>
      <c r="G101" s="186">
        <v>-30000</v>
      </c>
      <c r="H101" s="196"/>
      <c r="I101" s="196"/>
      <c r="J101" s="196"/>
      <c r="K101" s="196">
        <f t="shared" si="6"/>
        <v>0</v>
      </c>
      <c r="L101" s="196"/>
      <c r="M101" s="196"/>
      <c r="N101" s="196"/>
      <c r="O101" s="196"/>
      <c r="P101" s="196"/>
      <c r="Q101" s="196"/>
      <c r="R101" s="185">
        <f t="shared" si="4"/>
        <v>-30000</v>
      </c>
    </row>
    <row r="102" spans="1:18" s="164" customFormat="1" ht="31.15" hidden="1" customHeight="1" x14ac:dyDescent="0.2">
      <c r="A102" s="177"/>
      <c r="B102" s="693" t="s">
        <v>446</v>
      </c>
      <c r="C102" s="655" t="s">
        <v>447</v>
      </c>
      <c r="D102" s="692" t="s">
        <v>155</v>
      </c>
      <c r="E102" s="588" t="s">
        <v>448</v>
      </c>
      <c r="F102" s="180">
        <f t="shared" si="18"/>
        <v>0</v>
      </c>
      <c r="G102" s="186"/>
      <c r="H102" s="186"/>
      <c r="I102" s="186"/>
      <c r="J102" s="186"/>
      <c r="K102" s="196">
        <f t="shared" si="6"/>
        <v>0</v>
      </c>
      <c r="L102" s="186"/>
      <c r="M102" s="186"/>
      <c r="N102" s="186"/>
      <c r="O102" s="186"/>
      <c r="P102" s="186"/>
      <c r="Q102" s="186"/>
      <c r="R102" s="185">
        <f t="shared" ref="R102:R114" si="19">F102+K102</f>
        <v>0</v>
      </c>
    </row>
    <row r="103" spans="1:18" s="164" customFormat="1" ht="46.9" hidden="1" customHeight="1" x14ac:dyDescent="0.2">
      <c r="A103" s="177"/>
      <c r="B103" s="693" t="s">
        <v>449</v>
      </c>
      <c r="C103" s="655" t="s">
        <v>450</v>
      </c>
      <c r="D103" s="692" t="s">
        <v>155</v>
      </c>
      <c r="E103" s="599" t="s">
        <v>451</v>
      </c>
      <c r="F103" s="180">
        <f t="shared" si="18"/>
        <v>0</v>
      </c>
      <c r="G103" s="196"/>
      <c r="H103" s="196"/>
      <c r="I103" s="196"/>
      <c r="J103" s="186"/>
      <c r="K103" s="196">
        <f t="shared" si="6"/>
        <v>0</v>
      </c>
      <c r="L103" s="186"/>
      <c r="M103" s="186"/>
      <c r="N103" s="186"/>
      <c r="O103" s="186"/>
      <c r="P103" s="186"/>
      <c r="Q103" s="186"/>
      <c r="R103" s="185">
        <f t="shared" si="19"/>
        <v>0</v>
      </c>
    </row>
    <row r="104" spans="1:18" s="164" customFormat="1" ht="94.5" hidden="1" x14ac:dyDescent="0.2">
      <c r="A104" s="177"/>
      <c r="B104" s="693" t="s">
        <v>879</v>
      </c>
      <c r="C104" s="655" t="s">
        <v>952</v>
      </c>
      <c r="D104" s="692" t="s">
        <v>155</v>
      </c>
      <c r="E104" s="599" t="s">
        <v>953</v>
      </c>
      <c r="F104" s="180">
        <f t="shared" si="18"/>
        <v>0</v>
      </c>
      <c r="G104" s="186"/>
      <c r="H104" s="186"/>
      <c r="I104" s="196"/>
      <c r="J104" s="186"/>
      <c r="K104" s="196">
        <f t="shared" si="6"/>
        <v>0</v>
      </c>
      <c r="L104" s="186"/>
      <c r="M104" s="186"/>
      <c r="N104" s="186"/>
      <c r="O104" s="186"/>
      <c r="P104" s="186"/>
      <c r="Q104" s="186"/>
      <c r="R104" s="185">
        <f t="shared" si="19"/>
        <v>0</v>
      </c>
    </row>
    <row r="105" spans="1:18" s="164" customFormat="1" ht="15.6" hidden="1" customHeight="1" x14ac:dyDescent="0.2">
      <c r="A105" s="177"/>
      <c r="B105" s="693" t="s">
        <v>445</v>
      </c>
      <c r="C105" s="682" t="s">
        <v>452</v>
      </c>
      <c r="D105" s="683" t="s">
        <v>155</v>
      </c>
      <c r="E105" s="599" t="s">
        <v>453</v>
      </c>
      <c r="F105" s="180">
        <f t="shared" si="18"/>
        <v>0</v>
      </c>
      <c r="G105" s="186"/>
      <c r="H105" s="186"/>
      <c r="I105" s="186"/>
      <c r="J105" s="186"/>
      <c r="K105" s="196">
        <f t="shared" si="6"/>
        <v>0</v>
      </c>
      <c r="L105" s="186"/>
      <c r="M105" s="186"/>
      <c r="N105" s="186"/>
      <c r="O105" s="186"/>
      <c r="P105" s="186"/>
      <c r="Q105" s="186"/>
      <c r="R105" s="185">
        <f t="shared" si="19"/>
        <v>0</v>
      </c>
    </row>
    <row r="106" spans="1:18" s="164" customFormat="1" ht="63" hidden="1" x14ac:dyDescent="0.2">
      <c r="A106" s="177"/>
      <c r="B106" s="693" t="s">
        <v>841</v>
      </c>
      <c r="C106" s="682" t="s">
        <v>849</v>
      </c>
      <c r="D106" s="683" t="s">
        <v>155</v>
      </c>
      <c r="E106" s="599" t="s">
        <v>851</v>
      </c>
      <c r="F106" s="196"/>
      <c r="G106" s="186"/>
      <c r="H106" s="186"/>
      <c r="I106" s="186"/>
      <c r="J106" s="186"/>
      <c r="K106" s="196">
        <f t="shared" si="6"/>
        <v>0</v>
      </c>
      <c r="L106" s="186"/>
      <c r="M106" s="186"/>
      <c r="N106" s="186"/>
      <c r="O106" s="186"/>
      <c r="P106" s="186"/>
      <c r="Q106" s="186"/>
      <c r="R106" s="185">
        <f t="shared" si="19"/>
        <v>0</v>
      </c>
    </row>
    <row r="107" spans="1:18" s="164" customFormat="1" ht="63" x14ac:dyDescent="0.2">
      <c r="A107" s="177"/>
      <c r="B107" s="693" t="s">
        <v>845</v>
      </c>
      <c r="C107" s="682" t="s">
        <v>850</v>
      </c>
      <c r="D107" s="683" t="s">
        <v>155</v>
      </c>
      <c r="E107" s="599" t="s">
        <v>852</v>
      </c>
      <c r="F107" s="196"/>
      <c r="G107" s="186"/>
      <c r="H107" s="186"/>
      <c r="I107" s="186"/>
      <c r="J107" s="186"/>
      <c r="K107" s="196">
        <f t="shared" si="6"/>
        <v>895500</v>
      </c>
      <c r="L107" s="186">
        <v>895500</v>
      </c>
      <c r="M107" s="186"/>
      <c r="N107" s="186"/>
      <c r="O107" s="186"/>
      <c r="P107" s="186"/>
      <c r="Q107" s="186">
        <v>895500</v>
      </c>
      <c r="R107" s="185">
        <f t="shared" si="19"/>
        <v>895500</v>
      </c>
    </row>
    <row r="108" spans="1:18" s="164" customFormat="1" ht="15.75" x14ac:dyDescent="0.2">
      <c r="A108" s="177"/>
      <c r="B108" s="693"/>
      <c r="C108" s="682"/>
      <c r="D108" s="683"/>
      <c r="E108" s="599"/>
      <c r="F108" s="196"/>
      <c r="G108" s="186"/>
      <c r="H108" s="186"/>
      <c r="I108" s="186"/>
      <c r="J108" s="186"/>
      <c r="K108" s="196"/>
      <c r="L108" s="186"/>
      <c r="M108" s="186"/>
      <c r="N108" s="186"/>
      <c r="O108" s="186"/>
      <c r="P108" s="186"/>
      <c r="Q108" s="186"/>
      <c r="R108" s="185"/>
    </row>
    <row r="109" spans="1:18" s="164" customFormat="1" ht="78.75" hidden="1" x14ac:dyDescent="0.2">
      <c r="A109" s="177"/>
      <c r="B109" s="693" t="s">
        <v>811</v>
      </c>
      <c r="C109" s="682" t="s">
        <v>817</v>
      </c>
      <c r="D109" s="683" t="s">
        <v>155</v>
      </c>
      <c r="E109" s="599" t="s">
        <v>818</v>
      </c>
      <c r="F109" s="196">
        <f t="shared" ref="F109:F114" si="20">G109+J109</f>
        <v>0</v>
      </c>
      <c r="G109" s="182"/>
      <c r="H109" s="182"/>
      <c r="I109" s="182"/>
      <c r="J109" s="182"/>
      <c r="K109" s="196">
        <f t="shared" si="6"/>
        <v>0</v>
      </c>
      <c r="L109" s="186"/>
      <c r="M109" s="186"/>
      <c r="N109" s="186"/>
      <c r="O109" s="186"/>
      <c r="P109" s="186"/>
      <c r="Q109" s="186"/>
      <c r="R109" s="185">
        <f t="shared" si="19"/>
        <v>0</v>
      </c>
    </row>
    <row r="110" spans="1:18" s="164" customFormat="1" ht="63" hidden="1" x14ac:dyDescent="0.2">
      <c r="A110" s="177"/>
      <c r="B110" s="693" t="s">
        <v>805</v>
      </c>
      <c r="C110" s="682" t="s">
        <v>816</v>
      </c>
      <c r="D110" s="683" t="s">
        <v>155</v>
      </c>
      <c r="E110" s="599" t="s">
        <v>819</v>
      </c>
      <c r="F110" s="196">
        <f t="shared" si="20"/>
        <v>0</v>
      </c>
      <c r="G110" s="186"/>
      <c r="H110" s="186"/>
      <c r="I110" s="182"/>
      <c r="J110" s="182"/>
      <c r="K110" s="196">
        <f t="shared" si="6"/>
        <v>0</v>
      </c>
      <c r="L110" s="186"/>
      <c r="M110" s="186"/>
      <c r="N110" s="186"/>
      <c r="O110" s="186"/>
      <c r="P110" s="186"/>
      <c r="Q110" s="186"/>
      <c r="R110" s="185">
        <f t="shared" si="19"/>
        <v>0</v>
      </c>
    </row>
    <row r="111" spans="1:18" s="164" customFormat="1" ht="63" hidden="1" x14ac:dyDescent="0.2">
      <c r="A111" s="177"/>
      <c r="B111" s="693" t="s">
        <v>454</v>
      </c>
      <c r="C111" s="682" t="s">
        <v>455</v>
      </c>
      <c r="D111" s="683" t="s">
        <v>155</v>
      </c>
      <c r="E111" s="599" t="s">
        <v>456</v>
      </c>
      <c r="F111" s="197">
        <f t="shared" si="20"/>
        <v>0</v>
      </c>
      <c r="G111" s="194"/>
      <c r="H111" s="194"/>
      <c r="I111" s="182"/>
      <c r="J111" s="182"/>
      <c r="K111" s="196">
        <f>N111+L111</f>
        <v>0</v>
      </c>
      <c r="L111" s="186"/>
      <c r="M111" s="186"/>
      <c r="N111" s="186"/>
      <c r="O111" s="186"/>
      <c r="P111" s="186"/>
      <c r="Q111" s="186"/>
      <c r="R111" s="185">
        <f t="shared" si="19"/>
        <v>0</v>
      </c>
    </row>
    <row r="112" spans="1:18" s="164" customFormat="1" ht="31.15" hidden="1" customHeight="1" x14ac:dyDescent="0.2">
      <c r="A112" s="177"/>
      <c r="B112" s="693"/>
      <c r="C112" s="682"/>
      <c r="D112" s="683"/>
      <c r="E112" s="599"/>
      <c r="F112" s="197">
        <f t="shared" si="20"/>
        <v>0</v>
      </c>
      <c r="G112" s="214"/>
      <c r="H112" s="199"/>
      <c r="I112" s="199"/>
      <c r="J112" s="182"/>
      <c r="K112" s="196">
        <f>N112+L112</f>
        <v>0</v>
      </c>
      <c r="L112" s="186"/>
      <c r="M112" s="186"/>
      <c r="N112" s="186"/>
      <c r="O112" s="186"/>
      <c r="P112" s="186"/>
      <c r="Q112" s="186"/>
      <c r="R112" s="185">
        <f t="shared" si="19"/>
        <v>0</v>
      </c>
    </row>
    <row r="113" spans="1:18" s="164" customFormat="1" ht="63" hidden="1" x14ac:dyDescent="0.2">
      <c r="A113" s="177"/>
      <c r="B113" s="693" t="s">
        <v>822</v>
      </c>
      <c r="C113" s="682" t="s">
        <v>823</v>
      </c>
      <c r="D113" s="683" t="s">
        <v>155</v>
      </c>
      <c r="E113" s="599" t="s">
        <v>821</v>
      </c>
      <c r="F113" s="535">
        <f t="shared" si="20"/>
        <v>0</v>
      </c>
      <c r="G113" s="596"/>
      <c r="H113" s="533"/>
      <c r="I113" s="595"/>
      <c r="J113" s="595"/>
      <c r="K113" s="592">
        <f>N113+L113</f>
        <v>0</v>
      </c>
      <c r="L113" s="594"/>
      <c r="M113" s="594"/>
      <c r="N113" s="594"/>
      <c r="O113" s="594"/>
      <c r="P113" s="594"/>
      <c r="Q113" s="594"/>
      <c r="R113" s="536">
        <f t="shared" si="19"/>
        <v>0</v>
      </c>
    </row>
    <row r="114" spans="1:18" s="164" customFormat="1" ht="15.75" hidden="1" x14ac:dyDescent="0.2">
      <c r="A114" s="177"/>
      <c r="B114" s="676" t="s">
        <v>552</v>
      </c>
      <c r="C114" s="187" t="s">
        <v>553</v>
      </c>
      <c r="D114" s="187" t="s">
        <v>172</v>
      </c>
      <c r="E114" s="677" t="s">
        <v>554</v>
      </c>
      <c r="F114" s="197">
        <f t="shared" si="20"/>
        <v>0</v>
      </c>
      <c r="G114" s="199"/>
      <c r="H114" s="215"/>
      <c r="I114" s="182"/>
      <c r="J114" s="182"/>
      <c r="K114" s="592">
        <f>N114+L114</f>
        <v>0</v>
      </c>
      <c r="L114" s="594"/>
      <c r="M114" s="594"/>
      <c r="N114" s="594"/>
      <c r="O114" s="594"/>
      <c r="P114" s="594"/>
      <c r="Q114" s="594"/>
      <c r="R114" s="185">
        <f t="shared" si="19"/>
        <v>0</v>
      </c>
    </row>
    <row r="115" spans="1:18" s="164" customFormat="1" ht="31.5" x14ac:dyDescent="0.2">
      <c r="A115" s="177"/>
      <c r="B115" s="534" t="s">
        <v>641</v>
      </c>
      <c r="C115" s="192"/>
      <c r="D115" s="560"/>
      <c r="E115" s="577" t="s">
        <v>642</v>
      </c>
      <c r="F115" s="197">
        <f>F116</f>
        <v>131500</v>
      </c>
      <c r="G115" s="197">
        <f t="shared" ref="G115:R115" si="21">G116</f>
        <v>131500</v>
      </c>
      <c r="H115" s="197">
        <f t="shared" si="21"/>
        <v>0</v>
      </c>
      <c r="I115" s="197">
        <f t="shared" si="21"/>
        <v>0</v>
      </c>
      <c r="J115" s="197">
        <f t="shared" si="21"/>
        <v>0</v>
      </c>
      <c r="K115" s="196">
        <f>N115+L115</f>
        <v>1799250</v>
      </c>
      <c r="L115" s="197">
        <f t="shared" si="21"/>
        <v>1799250</v>
      </c>
      <c r="M115" s="197">
        <f t="shared" si="21"/>
        <v>0</v>
      </c>
      <c r="N115" s="197">
        <f t="shared" si="21"/>
        <v>0</v>
      </c>
      <c r="O115" s="197">
        <f t="shared" si="21"/>
        <v>0</v>
      </c>
      <c r="P115" s="197">
        <f t="shared" si="21"/>
        <v>0</v>
      </c>
      <c r="Q115" s="197">
        <f t="shared" si="21"/>
        <v>1799250</v>
      </c>
      <c r="R115" s="586">
        <f t="shared" si="21"/>
        <v>1930750</v>
      </c>
    </row>
    <row r="116" spans="1:18" s="164" customFormat="1" ht="31.5" x14ac:dyDescent="0.2">
      <c r="A116" s="177"/>
      <c r="B116" s="534" t="s">
        <v>643</v>
      </c>
      <c r="C116" s="192"/>
      <c r="D116" s="560"/>
      <c r="E116" s="577" t="s">
        <v>642</v>
      </c>
      <c r="F116" s="197">
        <f>F119+F120+F122+F124+F127+F128+F130+F132+F133+F134+F135+F136+F137+F138</f>
        <v>131500</v>
      </c>
      <c r="G116" s="197">
        <f>G119+G120+G122+G124+G127+G128+G130+G132+G133+G134+G135+G136+G137+G138</f>
        <v>131500</v>
      </c>
      <c r="H116" s="197">
        <f t="shared" ref="H116:R116" si="22">H119+H120+H122+H124+H127+H128+H130+H132+H133+H134+H135+H136+H137+H138</f>
        <v>0</v>
      </c>
      <c r="I116" s="197">
        <f t="shared" si="22"/>
        <v>0</v>
      </c>
      <c r="J116" s="197">
        <f t="shared" si="22"/>
        <v>0</v>
      </c>
      <c r="K116" s="197">
        <f t="shared" si="22"/>
        <v>1799250</v>
      </c>
      <c r="L116" s="197">
        <f t="shared" si="22"/>
        <v>1799250</v>
      </c>
      <c r="M116" s="197">
        <f t="shared" si="22"/>
        <v>0</v>
      </c>
      <c r="N116" s="197">
        <f>N119+N120+N122+N124+N127+N128+N130+N132+N133+N134+N135+N136+N137+N138</f>
        <v>0</v>
      </c>
      <c r="O116" s="197">
        <f>O119+O120+O122+O124+O127+O128+O130+O132+O133+O134+O135+O136+O137+O138</f>
        <v>0</v>
      </c>
      <c r="P116" s="197">
        <f>P119+P120+P122+P124+P127+P128+P130+P132+P133+P134+P135+P136+P137+P138</f>
        <v>0</v>
      </c>
      <c r="Q116" s="197">
        <f t="shared" si="22"/>
        <v>1799250</v>
      </c>
      <c r="R116" s="586">
        <f t="shared" si="22"/>
        <v>1930750</v>
      </c>
    </row>
    <row r="117" spans="1:18" s="164" customFormat="1" ht="31.5" hidden="1" x14ac:dyDescent="0.2">
      <c r="A117" s="177"/>
      <c r="B117" s="534"/>
      <c r="C117" s="428"/>
      <c r="D117" s="565"/>
      <c r="E117" s="577" t="s">
        <v>820</v>
      </c>
      <c r="F117" s="180">
        <f t="shared" ref="F117:F137" si="23">G117+J117</f>
        <v>0</v>
      </c>
      <c r="G117" s="197">
        <f>G139</f>
        <v>0</v>
      </c>
      <c r="H117" s="197">
        <f t="shared" ref="H117:J117" si="24">H139</f>
        <v>0</v>
      </c>
      <c r="I117" s="197">
        <f t="shared" si="24"/>
        <v>0</v>
      </c>
      <c r="J117" s="197">
        <f t="shared" si="24"/>
        <v>0</v>
      </c>
      <c r="K117" s="197"/>
      <c r="L117" s="197"/>
      <c r="M117" s="197"/>
      <c r="N117" s="197"/>
      <c r="O117" s="197"/>
      <c r="P117" s="197"/>
      <c r="Q117" s="197"/>
      <c r="R117" s="185">
        <f t="shared" ref="R117:R138" si="25">F117+K117</f>
        <v>0</v>
      </c>
    </row>
    <row r="118" spans="1:18" s="164" customFormat="1" ht="31.5" x14ac:dyDescent="0.2">
      <c r="A118" s="177"/>
      <c r="B118" s="198"/>
      <c r="C118" s="428"/>
      <c r="D118" s="565"/>
      <c r="E118" s="577" t="s">
        <v>398</v>
      </c>
      <c r="F118" s="180">
        <f t="shared" si="23"/>
        <v>95000</v>
      </c>
      <c r="G118" s="197">
        <f>G123+G139</f>
        <v>95000</v>
      </c>
      <c r="H118" s="197">
        <f t="shared" ref="H118:Q118" si="26">H123+H139</f>
        <v>0</v>
      </c>
      <c r="I118" s="197">
        <f t="shared" si="26"/>
        <v>0</v>
      </c>
      <c r="J118" s="197">
        <f t="shared" si="26"/>
        <v>0</v>
      </c>
      <c r="K118" s="197">
        <f t="shared" si="26"/>
        <v>1799250</v>
      </c>
      <c r="L118" s="197">
        <f t="shared" si="26"/>
        <v>1799250</v>
      </c>
      <c r="M118" s="197">
        <f t="shared" si="26"/>
        <v>0</v>
      </c>
      <c r="N118" s="197">
        <f t="shared" si="26"/>
        <v>0</v>
      </c>
      <c r="O118" s="197">
        <f t="shared" si="26"/>
        <v>0</v>
      </c>
      <c r="P118" s="197">
        <f t="shared" si="26"/>
        <v>0</v>
      </c>
      <c r="Q118" s="197">
        <f t="shared" si="26"/>
        <v>1799250</v>
      </c>
      <c r="R118" s="185">
        <f t="shared" si="25"/>
        <v>1894250</v>
      </c>
    </row>
    <row r="119" spans="1:18" s="164" customFormat="1" ht="47.25" hidden="1" x14ac:dyDescent="0.2">
      <c r="A119" s="177"/>
      <c r="B119" s="209" t="s">
        <v>613</v>
      </c>
      <c r="C119" s="210" t="s">
        <v>436</v>
      </c>
      <c r="D119" s="563" t="s">
        <v>19</v>
      </c>
      <c r="E119" s="585" t="s">
        <v>437</v>
      </c>
      <c r="F119" s="180">
        <f t="shared" si="23"/>
        <v>0</v>
      </c>
      <c r="G119" s="199"/>
      <c r="H119" s="194"/>
      <c r="I119" s="182"/>
      <c r="J119" s="182"/>
      <c r="K119" s="196">
        <f t="shared" ref="K119:K139" si="27">N119+L119</f>
        <v>0</v>
      </c>
      <c r="L119" s="186"/>
      <c r="M119" s="186"/>
      <c r="N119" s="186"/>
      <c r="O119" s="186"/>
      <c r="P119" s="186"/>
      <c r="Q119" s="186"/>
      <c r="R119" s="185">
        <f t="shared" si="25"/>
        <v>0</v>
      </c>
    </row>
    <row r="120" spans="1:18" s="164" customFormat="1" ht="31.5" x14ac:dyDescent="0.2">
      <c r="A120" s="177"/>
      <c r="B120" s="198" t="s">
        <v>614</v>
      </c>
      <c r="C120" s="192" t="s">
        <v>390</v>
      </c>
      <c r="D120" s="560" t="s">
        <v>391</v>
      </c>
      <c r="E120" s="576" t="s">
        <v>392</v>
      </c>
      <c r="F120" s="180">
        <f t="shared" si="23"/>
        <v>11500</v>
      </c>
      <c r="G120" s="199">
        <v>11500</v>
      </c>
      <c r="H120" s="215"/>
      <c r="I120" s="182"/>
      <c r="J120" s="182"/>
      <c r="K120" s="196">
        <f t="shared" si="27"/>
        <v>0</v>
      </c>
      <c r="L120" s="182"/>
      <c r="M120" s="186"/>
      <c r="N120" s="186"/>
      <c r="O120" s="186"/>
      <c r="P120" s="186"/>
      <c r="Q120" s="182"/>
      <c r="R120" s="185">
        <f t="shared" si="25"/>
        <v>11500</v>
      </c>
    </row>
    <row r="121" spans="1:18" s="164" customFormat="1" ht="31.5" hidden="1" x14ac:dyDescent="0.2">
      <c r="A121" s="177"/>
      <c r="B121" s="198"/>
      <c r="C121" s="192"/>
      <c r="D121" s="560"/>
      <c r="E121" s="576" t="s">
        <v>398</v>
      </c>
      <c r="F121" s="180">
        <f t="shared" si="23"/>
        <v>0</v>
      </c>
      <c r="G121" s="533"/>
      <c r="H121" s="215"/>
      <c r="I121" s="182"/>
      <c r="J121" s="182"/>
      <c r="K121" s="196">
        <f t="shared" si="27"/>
        <v>0</v>
      </c>
      <c r="L121" s="186"/>
      <c r="M121" s="186"/>
      <c r="N121" s="186"/>
      <c r="O121" s="186"/>
      <c r="P121" s="186"/>
      <c r="Q121" s="186"/>
      <c r="R121" s="185">
        <f t="shared" si="25"/>
        <v>0</v>
      </c>
    </row>
    <row r="122" spans="1:18" s="164" customFormat="1" ht="47.25" x14ac:dyDescent="0.2">
      <c r="A122" s="177"/>
      <c r="B122" s="198" t="s">
        <v>615</v>
      </c>
      <c r="C122" s="192" t="s">
        <v>393</v>
      </c>
      <c r="D122" s="560" t="s">
        <v>394</v>
      </c>
      <c r="E122" s="576" t="s">
        <v>395</v>
      </c>
      <c r="F122" s="180">
        <f t="shared" si="23"/>
        <v>120000</v>
      </c>
      <c r="G122" s="199">
        <v>120000</v>
      </c>
      <c r="H122" s="215"/>
      <c r="I122" s="182"/>
      <c r="J122" s="182"/>
      <c r="K122" s="196">
        <f t="shared" si="27"/>
        <v>0</v>
      </c>
      <c r="L122" s="186"/>
      <c r="M122" s="186"/>
      <c r="N122" s="186"/>
      <c r="O122" s="186"/>
      <c r="P122" s="186"/>
      <c r="Q122" s="186"/>
      <c r="R122" s="185">
        <f t="shared" si="25"/>
        <v>120000</v>
      </c>
    </row>
    <row r="123" spans="1:18" s="164" customFormat="1" ht="31.5" x14ac:dyDescent="0.2">
      <c r="A123" s="177"/>
      <c r="B123" s="198"/>
      <c r="C123" s="192"/>
      <c r="D123" s="560"/>
      <c r="E123" s="576" t="s">
        <v>398</v>
      </c>
      <c r="F123" s="180">
        <f>G123+J123</f>
        <v>95000</v>
      </c>
      <c r="G123" s="199">
        <v>95000</v>
      </c>
      <c r="H123" s="215"/>
      <c r="I123" s="182"/>
      <c r="J123" s="182"/>
      <c r="K123" s="196">
        <f t="shared" si="27"/>
        <v>0</v>
      </c>
      <c r="L123" s="186"/>
      <c r="M123" s="186"/>
      <c r="N123" s="186"/>
      <c r="O123" s="186"/>
      <c r="P123" s="186"/>
      <c r="Q123" s="186"/>
      <c r="R123" s="185">
        <f t="shared" si="25"/>
        <v>95000</v>
      </c>
    </row>
    <row r="124" spans="1:18" s="164" customFormat="1" ht="31.5" hidden="1" x14ac:dyDescent="0.2">
      <c r="A124" s="177"/>
      <c r="B124" s="195" t="s">
        <v>686</v>
      </c>
      <c r="C124" s="192" t="s">
        <v>400</v>
      </c>
      <c r="D124" s="560" t="s">
        <v>401</v>
      </c>
      <c r="E124" s="574" t="s">
        <v>402</v>
      </c>
      <c r="F124" s="180">
        <f t="shared" si="23"/>
        <v>0</v>
      </c>
      <c r="G124" s="199"/>
      <c r="H124" s="215"/>
      <c r="I124" s="182"/>
      <c r="J124" s="182"/>
      <c r="K124" s="196">
        <f t="shared" si="27"/>
        <v>0</v>
      </c>
      <c r="L124" s="186"/>
      <c r="M124" s="186"/>
      <c r="N124" s="186"/>
      <c r="O124" s="186"/>
      <c r="P124" s="186"/>
      <c r="Q124" s="186"/>
      <c r="R124" s="185">
        <f t="shared" si="25"/>
        <v>0</v>
      </c>
    </row>
    <row r="125" spans="1:18" s="164" customFormat="1" ht="15.75" hidden="1" x14ac:dyDescent="0.2">
      <c r="A125" s="177"/>
      <c r="B125" s="195"/>
      <c r="C125" s="192"/>
      <c r="D125" s="560"/>
      <c r="E125" s="575" t="s">
        <v>359</v>
      </c>
      <c r="F125" s="180">
        <f t="shared" si="23"/>
        <v>0</v>
      </c>
      <c r="G125" s="199"/>
      <c r="H125" s="215"/>
      <c r="I125" s="182"/>
      <c r="J125" s="182"/>
      <c r="K125" s="196">
        <f t="shared" si="27"/>
        <v>0</v>
      </c>
      <c r="L125" s="186"/>
      <c r="M125" s="186"/>
      <c r="N125" s="186"/>
      <c r="O125" s="186"/>
      <c r="P125" s="186"/>
      <c r="Q125" s="186"/>
      <c r="R125" s="185">
        <f t="shared" si="25"/>
        <v>0</v>
      </c>
    </row>
    <row r="126" spans="1:18" s="164" customFormat="1" ht="63" hidden="1" x14ac:dyDescent="0.2">
      <c r="A126" s="177"/>
      <c r="B126" s="195"/>
      <c r="C126" s="192"/>
      <c r="D126" s="560"/>
      <c r="E126" s="574" t="s">
        <v>403</v>
      </c>
      <c r="F126" s="180">
        <f t="shared" si="23"/>
        <v>0</v>
      </c>
      <c r="G126" s="199"/>
      <c r="H126" s="215"/>
      <c r="I126" s="182"/>
      <c r="J126" s="182"/>
      <c r="K126" s="196">
        <f t="shared" si="27"/>
        <v>0</v>
      </c>
      <c r="L126" s="186"/>
      <c r="M126" s="186"/>
      <c r="N126" s="186"/>
      <c r="O126" s="186"/>
      <c r="P126" s="186"/>
      <c r="Q126" s="186"/>
      <c r="R126" s="185">
        <f t="shared" si="25"/>
        <v>0</v>
      </c>
    </row>
    <row r="127" spans="1:18" s="164" customFormat="1" ht="31.5" hidden="1" x14ac:dyDescent="0.2">
      <c r="A127" s="177"/>
      <c r="B127" s="195" t="s">
        <v>691</v>
      </c>
      <c r="C127" s="192" t="s">
        <v>28</v>
      </c>
      <c r="D127" s="560" t="s">
        <v>29</v>
      </c>
      <c r="E127" s="574" t="s">
        <v>405</v>
      </c>
      <c r="F127" s="193">
        <f t="shared" si="23"/>
        <v>0</v>
      </c>
      <c r="G127" s="194"/>
      <c r="H127" s="194"/>
      <c r="I127" s="182"/>
      <c r="J127" s="182"/>
      <c r="K127" s="196">
        <f t="shared" si="27"/>
        <v>0</v>
      </c>
      <c r="L127" s="186"/>
      <c r="M127" s="186"/>
      <c r="N127" s="186"/>
      <c r="O127" s="186"/>
      <c r="P127" s="186"/>
      <c r="Q127" s="186"/>
      <c r="R127" s="185">
        <f t="shared" si="25"/>
        <v>0</v>
      </c>
    </row>
    <row r="128" spans="1:18" s="164" customFormat="1" ht="63" hidden="1" x14ac:dyDescent="0.2">
      <c r="A128" s="177"/>
      <c r="B128" s="195" t="s">
        <v>689</v>
      </c>
      <c r="C128" s="192" t="s">
        <v>34</v>
      </c>
      <c r="D128" s="560" t="s">
        <v>35</v>
      </c>
      <c r="E128" s="576" t="s">
        <v>406</v>
      </c>
      <c r="F128" s="193">
        <f t="shared" si="23"/>
        <v>0</v>
      </c>
      <c r="G128" s="194"/>
      <c r="H128" s="194"/>
      <c r="I128" s="182"/>
      <c r="J128" s="182"/>
      <c r="K128" s="196">
        <f t="shared" si="27"/>
        <v>0</v>
      </c>
      <c r="L128" s="186"/>
      <c r="M128" s="186"/>
      <c r="N128" s="186"/>
      <c r="O128" s="186"/>
      <c r="P128" s="186"/>
      <c r="Q128" s="186"/>
      <c r="R128" s="185">
        <f t="shared" si="25"/>
        <v>0</v>
      </c>
    </row>
    <row r="129" spans="1:18" s="164" customFormat="1" ht="15.75" hidden="1" x14ac:dyDescent="0.2">
      <c r="A129" s="177"/>
      <c r="B129" s="195"/>
      <c r="C129" s="192"/>
      <c r="D129" s="560"/>
      <c r="E129" s="577"/>
      <c r="F129" s="193"/>
      <c r="G129" s="197"/>
      <c r="H129" s="215"/>
      <c r="I129" s="182"/>
      <c r="J129" s="182"/>
      <c r="K129" s="196">
        <f t="shared" si="27"/>
        <v>0</v>
      </c>
      <c r="L129" s="186"/>
      <c r="M129" s="186"/>
      <c r="N129" s="186"/>
      <c r="O129" s="186"/>
      <c r="P129" s="186"/>
      <c r="Q129" s="186"/>
      <c r="R129" s="185">
        <f t="shared" si="25"/>
        <v>0</v>
      </c>
    </row>
    <row r="130" spans="1:18" s="164" customFormat="1" ht="31.5" hidden="1" x14ac:dyDescent="0.2">
      <c r="A130" s="177"/>
      <c r="B130" s="195" t="s">
        <v>690</v>
      </c>
      <c r="C130" s="192" t="s">
        <v>408</v>
      </c>
      <c r="D130" s="560" t="s">
        <v>39</v>
      </c>
      <c r="E130" s="576" t="s">
        <v>409</v>
      </c>
      <c r="F130" s="193">
        <f t="shared" si="23"/>
        <v>0</v>
      </c>
      <c r="G130" s="531"/>
      <c r="H130" s="182"/>
      <c r="I130" s="182"/>
      <c r="J130" s="182"/>
      <c r="K130" s="196">
        <f t="shared" si="27"/>
        <v>0</v>
      </c>
      <c r="L130" s="186"/>
      <c r="M130" s="186"/>
      <c r="N130" s="186"/>
      <c r="O130" s="186"/>
      <c r="P130" s="186"/>
      <c r="Q130" s="186"/>
      <c r="R130" s="185">
        <f t="shared" si="25"/>
        <v>0</v>
      </c>
    </row>
    <row r="131" spans="1:18" s="164" customFormat="1" ht="15.75" hidden="1" x14ac:dyDescent="0.2">
      <c r="A131" s="177"/>
      <c r="B131" s="195" t="s">
        <v>700</v>
      </c>
      <c r="C131" s="192" t="s">
        <v>42</v>
      </c>
      <c r="D131" s="560" t="s">
        <v>39</v>
      </c>
      <c r="E131" s="576" t="s">
        <v>43</v>
      </c>
      <c r="F131" s="193">
        <f t="shared" si="23"/>
        <v>0</v>
      </c>
      <c r="G131" s="194"/>
      <c r="H131" s="215"/>
      <c r="I131" s="182"/>
      <c r="J131" s="182"/>
      <c r="K131" s="196">
        <f t="shared" si="27"/>
        <v>0</v>
      </c>
      <c r="L131" s="186"/>
      <c r="M131" s="186"/>
      <c r="N131" s="186"/>
      <c r="O131" s="186"/>
      <c r="P131" s="186"/>
      <c r="Q131" s="186"/>
      <c r="R131" s="185">
        <f t="shared" si="25"/>
        <v>0</v>
      </c>
    </row>
    <row r="132" spans="1:18" s="164" customFormat="1" ht="63" hidden="1" x14ac:dyDescent="0.2">
      <c r="A132" s="177"/>
      <c r="B132" s="195" t="s">
        <v>692</v>
      </c>
      <c r="C132" s="192" t="s">
        <v>47</v>
      </c>
      <c r="D132" s="560" t="s">
        <v>39</v>
      </c>
      <c r="E132" s="576" t="s">
        <v>48</v>
      </c>
      <c r="F132" s="193">
        <f t="shared" si="23"/>
        <v>0</v>
      </c>
      <c r="G132" s="194"/>
      <c r="H132" s="215"/>
      <c r="I132" s="182"/>
      <c r="J132" s="182"/>
      <c r="K132" s="196">
        <f t="shared" si="27"/>
        <v>0</v>
      </c>
      <c r="L132" s="186"/>
      <c r="M132" s="186"/>
      <c r="N132" s="186"/>
      <c r="O132" s="186"/>
      <c r="P132" s="186"/>
      <c r="Q132" s="186"/>
      <c r="R132" s="185">
        <f t="shared" si="25"/>
        <v>0</v>
      </c>
    </row>
    <row r="133" spans="1:18" s="164" customFormat="1" ht="78.75" hidden="1" x14ac:dyDescent="0.2">
      <c r="A133" s="177"/>
      <c r="B133" s="195" t="s">
        <v>693</v>
      </c>
      <c r="C133" s="192">
        <v>3160</v>
      </c>
      <c r="D133" s="560" t="s">
        <v>53</v>
      </c>
      <c r="E133" s="574" t="s">
        <v>54</v>
      </c>
      <c r="F133" s="193">
        <f t="shared" si="23"/>
        <v>0</v>
      </c>
      <c r="G133" s="194"/>
      <c r="H133" s="215"/>
      <c r="I133" s="182"/>
      <c r="J133" s="182"/>
      <c r="K133" s="196">
        <f t="shared" si="27"/>
        <v>0</v>
      </c>
      <c r="L133" s="186"/>
      <c r="M133" s="186"/>
      <c r="N133" s="186"/>
      <c r="O133" s="186"/>
      <c r="P133" s="186"/>
      <c r="Q133" s="186"/>
      <c r="R133" s="185">
        <f t="shared" si="25"/>
        <v>0</v>
      </c>
    </row>
    <row r="134" spans="1:18" s="164" customFormat="1" ht="31.5" hidden="1" x14ac:dyDescent="0.2">
      <c r="A134" s="177"/>
      <c r="B134" s="198" t="s">
        <v>694</v>
      </c>
      <c r="C134" s="192" t="s">
        <v>56</v>
      </c>
      <c r="D134" s="560" t="s">
        <v>57</v>
      </c>
      <c r="E134" s="576" t="s">
        <v>58</v>
      </c>
      <c r="F134" s="193">
        <f t="shared" si="23"/>
        <v>0</v>
      </c>
      <c r="G134" s="199"/>
      <c r="H134" s="215"/>
      <c r="I134" s="182"/>
      <c r="J134" s="182"/>
      <c r="K134" s="196">
        <f t="shared" si="27"/>
        <v>0</v>
      </c>
      <c r="L134" s="186"/>
      <c r="M134" s="186"/>
      <c r="N134" s="186"/>
      <c r="O134" s="186"/>
      <c r="P134" s="186"/>
      <c r="Q134" s="186"/>
      <c r="R134" s="185">
        <f t="shared" si="25"/>
        <v>0</v>
      </c>
    </row>
    <row r="135" spans="1:18" s="164" customFormat="1" ht="47.25" hidden="1" x14ac:dyDescent="0.2">
      <c r="A135" s="177"/>
      <c r="B135" s="200" t="s">
        <v>684</v>
      </c>
      <c r="C135" s="187">
        <v>3192</v>
      </c>
      <c r="D135" s="558">
        <v>1030</v>
      </c>
      <c r="E135" s="401" t="s">
        <v>411</v>
      </c>
      <c r="F135" s="180">
        <f t="shared" si="23"/>
        <v>0</v>
      </c>
      <c r="G135" s="182"/>
      <c r="H135" s="215"/>
      <c r="I135" s="182"/>
      <c r="J135" s="182"/>
      <c r="K135" s="196">
        <f t="shared" si="27"/>
        <v>0</v>
      </c>
      <c r="L135" s="186"/>
      <c r="M135" s="186"/>
      <c r="N135" s="186"/>
      <c r="O135" s="186"/>
      <c r="P135" s="186"/>
      <c r="Q135" s="186"/>
      <c r="R135" s="185">
        <f t="shared" si="25"/>
        <v>0</v>
      </c>
    </row>
    <row r="136" spans="1:18" s="164" customFormat="1" ht="15.75" hidden="1" x14ac:dyDescent="0.2">
      <c r="A136" s="177"/>
      <c r="B136" s="200" t="s">
        <v>695</v>
      </c>
      <c r="C136" s="187" t="s">
        <v>60</v>
      </c>
      <c r="D136" s="558" t="s">
        <v>61</v>
      </c>
      <c r="E136" s="401" t="s">
        <v>62</v>
      </c>
      <c r="F136" s="180">
        <f t="shared" si="23"/>
        <v>0</v>
      </c>
      <c r="G136" s="182"/>
      <c r="H136" s="194"/>
      <c r="I136" s="182"/>
      <c r="J136" s="182"/>
      <c r="K136" s="196">
        <f t="shared" si="27"/>
        <v>0</v>
      </c>
      <c r="L136" s="186"/>
      <c r="M136" s="186"/>
      <c r="N136" s="186"/>
      <c r="O136" s="186"/>
      <c r="P136" s="186"/>
      <c r="Q136" s="186"/>
      <c r="R136" s="185">
        <f t="shared" si="25"/>
        <v>0</v>
      </c>
    </row>
    <row r="137" spans="1:18" s="164" customFormat="1" ht="31.5" hidden="1" x14ac:dyDescent="0.2">
      <c r="A137" s="177"/>
      <c r="B137" s="200" t="s">
        <v>696</v>
      </c>
      <c r="C137" s="187" t="s">
        <v>64</v>
      </c>
      <c r="D137" s="558" t="s">
        <v>65</v>
      </c>
      <c r="E137" s="401" t="s">
        <v>66</v>
      </c>
      <c r="F137" s="180">
        <f t="shared" si="23"/>
        <v>0</v>
      </c>
      <c r="G137" s="182"/>
      <c r="H137" s="215"/>
      <c r="I137" s="182"/>
      <c r="J137" s="182"/>
      <c r="K137" s="196">
        <f t="shared" si="27"/>
        <v>0</v>
      </c>
      <c r="L137" s="186"/>
      <c r="M137" s="186"/>
      <c r="N137" s="186"/>
      <c r="O137" s="186"/>
      <c r="P137" s="186"/>
      <c r="Q137" s="186"/>
      <c r="R137" s="185">
        <f t="shared" si="25"/>
        <v>0</v>
      </c>
    </row>
    <row r="138" spans="1:18" s="164" customFormat="1" ht="94.5" x14ac:dyDescent="0.2">
      <c r="A138" s="177"/>
      <c r="B138" s="200" t="s">
        <v>1073</v>
      </c>
      <c r="C138" s="187" t="s">
        <v>1070</v>
      </c>
      <c r="D138" s="558" t="s">
        <v>1071</v>
      </c>
      <c r="E138" s="401" t="s">
        <v>1072</v>
      </c>
      <c r="F138" s="180"/>
      <c r="G138" s="182"/>
      <c r="H138" s="182"/>
      <c r="I138" s="182"/>
      <c r="J138" s="182"/>
      <c r="K138" s="196">
        <f t="shared" si="27"/>
        <v>1799250</v>
      </c>
      <c r="L138" s="186">
        <v>1799250</v>
      </c>
      <c r="M138" s="186"/>
      <c r="N138" s="186"/>
      <c r="O138" s="186"/>
      <c r="P138" s="186"/>
      <c r="Q138" s="186">
        <v>1799250</v>
      </c>
      <c r="R138" s="185">
        <f t="shared" si="25"/>
        <v>1799250</v>
      </c>
    </row>
    <row r="139" spans="1:18" s="164" customFormat="1" ht="31.5" x14ac:dyDescent="0.2">
      <c r="A139" s="177"/>
      <c r="B139" s="200"/>
      <c r="C139" s="187"/>
      <c r="D139" s="558"/>
      <c r="E139" s="576" t="s">
        <v>1088</v>
      </c>
      <c r="F139" s="180"/>
      <c r="G139" s="182"/>
      <c r="H139" s="182"/>
      <c r="I139" s="182"/>
      <c r="J139" s="182"/>
      <c r="K139" s="196">
        <f t="shared" si="27"/>
        <v>1799250</v>
      </c>
      <c r="L139" s="186">
        <v>1799250</v>
      </c>
      <c r="M139" s="186"/>
      <c r="N139" s="186"/>
      <c r="O139" s="186"/>
      <c r="P139" s="186"/>
      <c r="Q139" s="186">
        <v>1799250</v>
      </c>
      <c r="R139" s="185">
        <f t="shared" ref="R139" si="28">F139+K139</f>
        <v>1799250</v>
      </c>
    </row>
    <row r="140" spans="1:18" s="164" customFormat="1" ht="31.5" x14ac:dyDescent="0.2">
      <c r="A140" s="177"/>
      <c r="B140" s="178" t="s">
        <v>161</v>
      </c>
      <c r="C140" s="187"/>
      <c r="D140" s="558"/>
      <c r="E140" s="724" t="s">
        <v>457</v>
      </c>
      <c r="F140" s="180">
        <f>F141</f>
        <v>0</v>
      </c>
      <c r="G140" s="180">
        <f t="shared" ref="G140:R140" si="29">G141</f>
        <v>0</v>
      </c>
      <c r="H140" s="180">
        <f t="shared" si="29"/>
        <v>0</v>
      </c>
      <c r="I140" s="180">
        <f t="shared" si="29"/>
        <v>0</v>
      </c>
      <c r="J140" s="180">
        <f t="shared" si="29"/>
        <v>0</v>
      </c>
      <c r="K140" s="180">
        <f t="shared" si="29"/>
        <v>47000</v>
      </c>
      <c r="L140" s="180">
        <f t="shared" si="29"/>
        <v>47000</v>
      </c>
      <c r="M140" s="180">
        <f t="shared" si="29"/>
        <v>0</v>
      </c>
      <c r="N140" s="180">
        <f t="shared" si="29"/>
        <v>0</v>
      </c>
      <c r="O140" s="180">
        <f t="shared" si="29"/>
        <v>0</v>
      </c>
      <c r="P140" s="180">
        <f t="shared" si="29"/>
        <v>0</v>
      </c>
      <c r="Q140" s="180">
        <f t="shared" si="29"/>
        <v>47000</v>
      </c>
      <c r="R140" s="185">
        <f t="shared" si="29"/>
        <v>47000</v>
      </c>
    </row>
    <row r="141" spans="1:18" s="164" customFormat="1" ht="31.5" x14ac:dyDescent="0.2">
      <c r="A141" s="177"/>
      <c r="B141" s="178" t="s">
        <v>459</v>
      </c>
      <c r="C141" s="179" t="s">
        <v>438</v>
      </c>
      <c r="D141" s="558"/>
      <c r="E141" s="724" t="s">
        <v>457</v>
      </c>
      <c r="F141" s="180">
        <f t="shared" ref="F141:R141" si="30">F142+F143+F144+F145+F146+F147+F148+F149+F150</f>
        <v>0</v>
      </c>
      <c r="G141" s="180">
        <f t="shared" si="30"/>
        <v>0</v>
      </c>
      <c r="H141" s="180">
        <f t="shared" si="30"/>
        <v>0</v>
      </c>
      <c r="I141" s="180">
        <f t="shared" si="30"/>
        <v>0</v>
      </c>
      <c r="J141" s="180">
        <f t="shared" si="30"/>
        <v>0</v>
      </c>
      <c r="K141" s="180">
        <f t="shared" si="30"/>
        <v>47000</v>
      </c>
      <c r="L141" s="180">
        <f t="shared" si="30"/>
        <v>47000</v>
      </c>
      <c r="M141" s="180">
        <f t="shared" si="30"/>
        <v>0</v>
      </c>
      <c r="N141" s="180">
        <f t="shared" si="30"/>
        <v>0</v>
      </c>
      <c r="O141" s="180">
        <f t="shared" si="30"/>
        <v>0</v>
      </c>
      <c r="P141" s="180">
        <f t="shared" si="30"/>
        <v>0</v>
      </c>
      <c r="Q141" s="180">
        <f t="shared" si="30"/>
        <v>47000</v>
      </c>
      <c r="R141" s="185">
        <f t="shared" si="30"/>
        <v>47000</v>
      </c>
    </row>
    <row r="142" spans="1:18" s="164" customFormat="1" ht="47.25" x14ac:dyDescent="0.2">
      <c r="A142" s="177"/>
      <c r="B142" s="209" t="s">
        <v>458</v>
      </c>
      <c r="C142" s="210" t="s">
        <v>436</v>
      </c>
      <c r="D142" s="563" t="s">
        <v>19</v>
      </c>
      <c r="E142" s="585" t="s">
        <v>437</v>
      </c>
      <c r="F142" s="180">
        <f>G142+J142</f>
        <v>-35380</v>
      </c>
      <c r="G142" s="186">
        <v>-35380</v>
      </c>
      <c r="H142" s="196">
        <v>-29000</v>
      </c>
      <c r="I142" s="196"/>
      <c r="J142" s="196"/>
      <c r="K142" s="196"/>
      <c r="L142" s="196"/>
      <c r="M142" s="196"/>
      <c r="N142" s="196"/>
      <c r="O142" s="196"/>
      <c r="P142" s="196"/>
      <c r="Q142" s="196"/>
      <c r="R142" s="185">
        <f>F142+K142</f>
        <v>-35380</v>
      </c>
    </row>
    <row r="143" spans="1:18" s="164" customFormat="1" ht="15.75" hidden="1" x14ac:dyDescent="0.2">
      <c r="A143" s="177"/>
      <c r="B143" s="200" t="s">
        <v>163</v>
      </c>
      <c r="C143" s="204" t="s">
        <v>164</v>
      </c>
      <c r="D143" s="561" t="s">
        <v>151</v>
      </c>
      <c r="E143" s="401" t="s">
        <v>460</v>
      </c>
      <c r="F143" s="180">
        <f t="shared" ref="F143:F150" si="31">G143+J143</f>
        <v>0</v>
      </c>
      <c r="G143" s="182"/>
      <c r="H143" s="182"/>
      <c r="I143" s="182"/>
      <c r="J143" s="182"/>
      <c r="K143" s="196">
        <f t="shared" ref="K143:K156" si="32">N143+L143</f>
        <v>0</v>
      </c>
      <c r="L143" s="186"/>
      <c r="M143" s="186"/>
      <c r="N143" s="186"/>
      <c r="O143" s="186"/>
      <c r="P143" s="186"/>
      <c r="Q143" s="186"/>
      <c r="R143" s="185">
        <f t="shared" ref="R143:R159" si="33">F143+K143</f>
        <v>0</v>
      </c>
    </row>
    <row r="144" spans="1:18" s="164" customFormat="1" ht="15.75" x14ac:dyDescent="0.2">
      <c r="A144" s="177"/>
      <c r="B144" s="200" t="s">
        <v>461</v>
      </c>
      <c r="C144" s="204" t="s">
        <v>462</v>
      </c>
      <c r="D144" s="561" t="s">
        <v>463</v>
      </c>
      <c r="E144" s="401" t="s">
        <v>464</v>
      </c>
      <c r="F144" s="180">
        <f t="shared" si="31"/>
        <v>0</v>
      </c>
      <c r="G144" s="182"/>
      <c r="H144" s="182"/>
      <c r="I144" s="182"/>
      <c r="J144" s="180"/>
      <c r="K144" s="196">
        <f t="shared" si="32"/>
        <v>47000</v>
      </c>
      <c r="L144" s="186">
        <v>47000</v>
      </c>
      <c r="M144" s="186"/>
      <c r="N144" s="196"/>
      <c r="O144" s="196"/>
      <c r="P144" s="186">
        <f>O144</f>
        <v>0</v>
      </c>
      <c r="Q144" s="186">
        <v>47000</v>
      </c>
      <c r="R144" s="185">
        <f t="shared" si="33"/>
        <v>47000</v>
      </c>
    </row>
    <row r="145" spans="1:19" s="164" customFormat="1" ht="25.5" hidden="1" customHeight="1" x14ac:dyDescent="0.2">
      <c r="A145" s="177"/>
      <c r="B145" s="200" t="s">
        <v>465</v>
      </c>
      <c r="C145" s="204" t="s">
        <v>466</v>
      </c>
      <c r="D145" s="561" t="s">
        <v>463</v>
      </c>
      <c r="E145" s="401" t="s">
        <v>467</v>
      </c>
      <c r="F145" s="180">
        <f t="shared" si="31"/>
        <v>0</v>
      </c>
      <c r="G145" s="182"/>
      <c r="H145" s="182"/>
      <c r="I145" s="182"/>
      <c r="J145" s="180"/>
      <c r="K145" s="196">
        <f t="shared" si="32"/>
        <v>0</v>
      </c>
      <c r="L145" s="186"/>
      <c r="M145" s="186"/>
      <c r="N145" s="196"/>
      <c r="O145" s="183"/>
      <c r="P145" s="188"/>
      <c r="Q145" s="188"/>
      <c r="R145" s="185">
        <f t="shared" si="33"/>
        <v>0</v>
      </c>
    </row>
    <row r="146" spans="1:19" s="164" customFormat="1" ht="47.25" hidden="1" x14ac:dyDescent="0.2">
      <c r="A146" s="177"/>
      <c r="B146" s="200" t="s">
        <v>468</v>
      </c>
      <c r="C146" s="204" t="s">
        <v>469</v>
      </c>
      <c r="D146" s="561" t="s">
        <v>470</v>
      </c>
      <c r="E146" s="401" t="s">
        <v>471</v>
      </c>
      <c r="F146" s="180">
        <f t="shared" si="31"/>
        <v>0</v>
      </c>
      <c r="G146" s="182"/>
      <c r="H146" s="182"/>
      <c r="I146" s="182"/>
      <c r="J146" s="182"/>
      <c r="K146" s="196">
        <f t="shared" si="32"/>
        <v>0</v>
      </c>
      <c r="L146" s="186"/>
      <c r="M146" s="186"/>
      <c r="N146" s="186"/>
      <c r="O146" s="188"/>
      <c r="P146" s="188"/>
      <c r="Q146" s="188"/>
      <c r="R146" s="185">
        <f t="shared" si="33"/>
        <v>0</v>
      </c>
    </row>
    <row r="147" spans="1:19" s="164" customFormat="1" ht="32.25" thickBot="1" x14ac:dyDescent="0.25">
      <c r="A147" s="177"/>
      <c r="B147" s="200" t="s">
        <v>472</v>
      </c>
      <c r="C147" s="204" t="s">
        <v>473</v>
      </c>
      <c r="D147" s="561" t="s">
        <v>168</v>
      </c>
      <c r="E147" s="401" t="s">
        <v>474</v>
      </c>
      <c r="F147" s="180">
        <f t="shared" si="31"/>
        <v>35380</v>
      </c>
      <c r="G147" s="182">
        <v>35380</v>
      </c>
      <c r="H147" s="182">
        <v>29000</v>
      </c>
      <c r="I147" s="182"/>
      <c r="J147" s="182"/>
      <c r="K147" s="196">
        <f t="shared" si="32"/>
        <v>0</v>
      </c>
      <c r="L147" s="188"/>
      <c r="M147" s="188"/>
      <c r="N147" s="188"/>
      <c r="O147" s="188"/>
      <c r="P147" s="188">
        <f>O147</f>
        <v>0</v>
      </c>
      <c r="Q147" s="188">
        <f>O147</f>
        <v>0</v>
      </c>
      <c r="R147" s="185">
        <f t="shared" si="33"/>
        <v>35380</v>
      </c>
    </row>
    <row r="148" spans="1:19" s="164" customFormat="1" ht="15.75" hidden="1" x14ac:dyDescent="0.2">
      <c r="A148" s="177"/>
      <c r="B148" s="200" t="s">
        <v>166</v>
      </c>
      <c r="C148" s="204" t="s">
        <v>167</v>
      </c>
      <c r="D148" s="561" t="s">
        <v>168</v>
      </c>
      <c r="E148" s="401" t="s">
        <v>169</v>
      </c>
      <c r="F148" s="180">
        <f t="shared" si="31"/>
        <v>0</v>
      </c>
      <c r="G148" s="182"/>
      <c r="H148" s="182"/>
      <c r="I148" s="182"/>
      <c r="J148" s="180"/>
      <c r="K148" s="196">
        <f t="shared" si="32"/>
        <v>0</v>
      </c>
      <c r="L148" s="183"/>
      <c r="M148" s="183"/>
      <c r="N148" s="183"/>
      <c r="O148" s="183"/>
      <c r="P148" s="183"/>
      <c r="Q148" s="183"/>
      <c r="R148" s="185">
        <f t="shared" si="33"/>
        <v>0</v>
      </c>
    </row>
    <row r="149" spans="1:19" s="164" customFormat="1" ht="31.5" hidden="1" x14ac:dyDescent="0.2">
      <c r="A149" s="177"/>
      <c r="B149" s="200" t="s">
        <v>170</v>
      </c>
      <c r="C149" s="204" t="s">
        <v>171</v>
      </c>
      <c r="D149" s="561" t="s">
        <v>172</v>
      </c>
      <c r="E149" s="401" t="s">
        <v>475</v>
      </c>
      <c r="F149" s="180">
        <f t="shared" si="31"/>
        <v>0</v>
      </c>
      <c r="G149" s="182"/>
      <c r="H149" s="182"/>
      <c r="I149" s="182"/>
      <c r="J149" s="182"/>
      <c r="K149" s="196">
        <f t="shared" si="32"/>
        <v>0</v>
      </c>
      <c r="L149" s="188"/>
      <c r="M149" s="188"/>
      <c r="N149" s="188"/>
      <c r="O149" s="188"/>
      <c r="P149" s="188"/>
      <c r="Q149" s="188"/>
      <c r="R149" s="185">
        <f t="shared" si="33"/>
        <v>0</v>
      </c>
    </row>
    <row r="150" spans="1:19" s="164" customFormat="1" ht="31.5" hidden="1" x14ac:dyDescent="0.2">
      <c r="A150" s="177"/>
      <c r="B150" s="203" t="s">
        <v>176</v>
      </c>
      <c r="C150" s="210" t="s">
        <v>177</v>
      </c>
      <c r="D150" s="563" t="s">
        <v>178</v>
      </c>
      <c r="E150" s="585" t="s">
        <v>179</v>
      </c>
      <c r="F150" s="216">
        <f t="shared" si="31"/>
        <v>0</v>
      </c>
      <c r="G150" s="201"/>
      <c r="H150" s="201"/>
      <c r="I150" s="201"/>
      <c r="J150" s="201"/>
      <c r="K150" s="196">
        <f t="shared" si="32"/>
        <v>0</v>
      </c>
      <c r="L150" s="217"/>
      <c r="M150" s="217"/>
      <c r="N150" s="217"/>
      <c r="O150" s="217"/>
      <c r="P150" s="217"/>
      <c r="Q150" s="217"/>
      <c r="R150" s="185">
        <f t="shared" si="33"/>
        <v>0</v>
      </c>
    </row>
    <row r="151" spans="1:19" s="164" customFormat="1" ht="31.5" hidden="1" x14ac:dyDescent="0.2">
      <c r="A151" s="177"/>
      <c r="B151" s="218" t="s">
        <v>476</v>
      </c>
      <c r="C151" s="219"/>
      <c r="D151" s="566"/>
      <c r="E151" s="587" t="s">
        <v>477</v>
      </c>
      <c r="F151" s="216">
        <f>F152</f>
        <v>0</v>
      </c>
      <c r="G151" s="216">
        <f t="shared" ref="G151:Q151" si="34">G152</f>
        <v>0</v>
      </c>
      <c r="H151" s="216">
        <f t="shared" si="34"/>
        <v>0</v>
      </c>
      <c r="I151" s="216">
        <f t="shared" si="34"/>
        <v>0</v>
      </c>
      <c r="J151" s="216">
        <f t="shared" si="34"/>
        <v>0</v>
      </c>
      <c r="K151" s="216">
        <f t="shared" si="34"/>
        <v>0</v>
      </c>
      <c r="L151" s="216">
        <f t="shared" si="34"/>
        <v>0</v>
      </c>
      <c r="M151" s="216">
        <f t="shared" si="34"/>
        <v>0</v>
      </c>
      <c r="N151" s="216">
        <f t="shared" si="34"/>
        <v>0</v>
      </c>
      <c r="O151" s="216">
        <f t="shared" si="34"/>
        <v>0</v>
      </c>
      <c r="P151" s="216">
        <f t="shared" si="34"/>
        <v>0</v>
      </c>
      <c r="Q151" s="216">
        <f t="shared" si="34"/>
        <v>0</v>
      </c>
      <c r="R151" s="185">
        <f t="shared" si="33"/>
        <v>0</v>
      </c>
    </row>
    <row r="152" spans="1:19" s="164" customFormat="1" ht="31.5" hidden="1" x14ac:dyDescent="0.2">
      <c r="A152" s="177"/>
      <c r="B152" s="218" t="s">
        <v>478</v>
      </c>
      <c r="C152" s="219"/>
      <c r="D152" s="566"/>
      <c r="E152" s="587" t="s">
        <v>477</v>
      </c>
      <c r="F152" s="216">
        <f>F153+F156+F154+F155</f>
        <v>0</v>
      </c>
      <c r="G152" s="216">
        <f t="shared" ref="G152:R152" si="35">G153+G156+G154+G155</f>
        <v>0</v>
      </c>
      <c r="H152" s="216">
        <f t="shared" si="35"/>
        <v>0</v>
      </c>
      <c r="I152" s="216">
        <f t="shared" si="35"/>
        <v>0</v>
      </c>
      <c r="J152" s="216">
        <f t="shared" si="35"/>
        <v>0</v>
      </c>
      <c r="K152" s="216">
        <f t="shared" si="35"/>
        <v>0</v>
      </c>
      <c r="L152" s="216">
        <f t="shared" si="35"/>
        <v>0</v>
      </c>
      <c r="M152" s="216">
        <f t="shared" si="35"/>
        <v>0</v>
      </c>
      <c r="N152" s="216">
        <f t="shared" si="35"/>
        <v>0</v>
      </c>
      <c r="O152" s="216">
        <f t="shared" si="35"/>
        <v>0</v>
      </c>
      <c r="P152" s="216">
        <f t="shared" si="35"/>
        <v>0</v>
      </c>
      <c r="Q152" s="216">
        <f t="shared" si="35"/>
        <v>0</v>
      </c>
      <c r="R152" s="729">
        <f t="shared" si="35"/>
        <v>0</v>
      </c>
    </row>
    <row r="153" spans="1:19" s="164" customFormat="1" ht="47.25" hidden="1" x14ac:dyDescent="0.2">
      <c r="A153" s="177"/>
      <c r="B153" s="203" t="s">
        <v>479</v>
      </c>
      <c r="C153" s="210" t="s">
        <v>436</v>
      </c>
      <c r="D153" s="563" t="s">
        <v>19</v>
      </c>
      <c r="E153" s="585" t="s">
        <v>437</v>
      </c>
      <c r="F153" s="180">
        <f>G153+J153</f>
        <v>0</v>
      </c>
      <c r="G153" s="201"/>
      <c r="H153" s="201"/>
      <c r="I153" s="201"/>
      <c r="J153" s="201"/>
      <c r="K153" s="196">
        <f t="shared" si="32"/>
        <v>0</v>
      </c>
      <c r="L153" s="217"/>
      <c r="M153" s="217"/>
      <c r="N153" s="217"/>
      <c r="O153" s="217"/>
      <c r="P153" s="217"/>
      <c r="Q153" s="217"/>
      <c r="R153" s="185">
        <f t="shared" si="33"/>
        <v>0</v>
      </c>
    </row>
    <row r="154" spans="1:19" s="164" customFormat="1" ht="15.75" hidden="1" x14ac:dyDescent="0.2">
      <c r="A154" s="177"/>
      <c r="B154" s="200" t="s">
        <v>480</v>
      </c>
      <c r="C154" s="187" t="s">
        <v>481</v>
      </c>
      <c r="D154" s="558" t="s">
        <v>25</v>
      </c>
      <c r="E154" s="401" t="s">
        <v>482</v>
      </c>
      <c r="F154" s="180">
        <f>G154+J154</f>
        <v>0</v>
      </c>
      <c r="G154" s="201"/>
      <c r="H154" s="201"/>
      <c r="I154" s="201"/>
      <c r="J154" s="201"/>
      <c r="K154" s="220">
        <f t="shared" si="32"/>
        <v>0</v>
      </c>
      <c r="L154" s="217"/>
      <c r="M154" s="217"/>
      <c r="N154" s="217"/>
      <c r="O154" s="217"/>
      <c r="P154" s="217"/>
      <c r="Q154" s="217"/>
      <c r="R154" s="185">
        <f t="shared" si="33"/>
        <v>0</v>
      </c>
    </row>
    <row r="155" spans="1:19" s="164" customFormat="1" ht="15.75" hidden="1" x14ac:dyDescent="0.2">
      <c r="A155" s="177"/>
      <c r="B155" s="203" t="s">
        <v>714</v>
      </c>
      <c r="C155" s="210" t="s">
        <v>716</v>
      </c>
      <c r="D155" s="558" t="s">
        <v>24</v>
      </c>
      <c r="E155" s="588" t="s">
        <v>342</v>
      </c>
      <c r="F155" s="180">
        <f>G155+J155</f>
        <v>0</v>
      </c>
      <c r="G155" s="201"/>
      <c r="H155" s="201"/>
      <c r="I155" s="201"/>
      <c r="J155" s="201"/>
      <c r="K155" s="537">
        <f t="shared" si="32"/>
        <v>0</v>
      </c>
      <c r="L155" s="201"/>
      <c r="M155" s="217"/>
      <c r="N155" s="217"/>
      <c r="O155" s="217"/>
      <c r="P155" s="217"/>
      <c r="Q155" s="201"/>
      <c r="R155" s="185">
        <f t="shared" si="33"/>
        <v>0</v>
      </c>
    </row>
    <row r="156" spans="1:19" s="164" customFormat="1" ht="48" hidden="1" thickBot="1" x14ac:dyDescent="0.25">
      <c r="A156" s="177"/>
      <c r="B156" s="200" t="s">
        <v>713</v>
      </c>
      <c r="C156" s="187" t="s">
        <v>701</v>
      </c>
      <c r="D156" s="558" t="s">
        <v>24</v>
      </c>
      <c r="E156" s="401" t="s">
        <v>705</v>
      </c>
      <c r="F156" s="180">
        <f>G156+J156</f>
        <v>0</v>
      </c>
      <c r="G156" s="201"/>
      <c r="H156" s="201"/>
      <c r="I156" s="201"/>
      <c r="J156" s="201"/>
      <c r="K156" s="537">
        <f t="shared" si="32"/>
        <v>0</v>
      </c>
      <c r="L156" s="201"/>
      <c r="M156" s="217"/>
      <c r="N156" s="217"/>
      <c r="O156" s="217"/>
      <c r="P156" s="217"/>
      <c r="Q156" s="201"/>
      <c r="R156" s="185">
        <f t="shared" si="33"/>
        <v>0</v>
      </c>
    </row>
    <row r="157" spans="1:19" s="164" customFormat="1" ht="33.75" customHeight="1" thickBot="1" x14ac:dyDescent="0.25">
      <c r="A157" s="177"/>
      <c r="B157" s="221" t="s">
        <v>483</v>
      </c>
      <c r="C157" s="222" t="s">
        <v>483</v>
      </c>
      <c r="D157" s="567" t="s">
        <v>483</v>
      </c>
      <c r="E157" s="589" t="s">
        <v>484</v>
      </c>
      <c r="F157" s="532">
        <f t="shared" ref="F157:R157" si="36">F11+F87+F140+F151+F115</f>
        <v>690921</v>
      </c>
      <c r="G157" s="532">
        <f t="shared" si="36"/>
        <v>690921</v>
      </c>
      <c r="H157" s="532">
        <f t="shared" si="36"/>
        <v>0</v>
      </c>
      <c r="I157" s="223">
        <f t="shared" si="36"/>
        <v>999656</v>
      </c>
      <c r="J157" s="223">
        <f t="shared" si="36"/>
        <v>0</v>
      </c>
      <c r="K157" s="532">
        <f t="shared" si="36"/>
        <v>2160960</v>
      </c>
      <c r="L157" s="532">
        <f t="shared" si="36"/>
        <v>2098829</v>
      </c>
      <c r="M157" s="532">
        <f t="shared" si="36"/>
        <v>0</v>
      </c>
      <c r="N157" s="532">
        <f t="shared" si="36"/>
        <v>0</v>
      </c>
      <c r="O157" s="532">
        <f t="shared" si="36"/>
        <v>0</v>
      </c>
      <c r="P157" s="532">
        <f t="shared" si="36"/>
        <v>0</v>
      </c>
      <c r="Q157" s="532">
        <f t="shared" si="36"/>
        <v>2160960</v>
      </c>
      <c r="R157" s="590">
        <f t="shared" si="36"/>
        <v>2851881</v>
      </c>
      <c r="S157" s="211">
        <f>R88/R157*100</f>
        <v>75.075362541424411</v>
      </c>
    </row>
    <row r="158" spans="1:19" s="164" customFormat="1" ht="32.25" thickBot="1" x14ac:dyDescent="0.25">
      <c r="A158" s="177"/>
      <c r="B158" s="221" t="s">
        <v>483</v>
      </c>
      <c r="C158" s="222" t="s">
        <v>483</v>
      </c>
      <c r="D158" s="567" t="s">
        <v>483</v>
      </c>
      <c r="E158" s="589" t="s">
        <v>485</v>
      </c>
      <c r="F158" s="532">
        <f>F89+F14+F117</f>
        <v>0</v>
      </c>
      <c r="G158" s="532">
        <f>G89+G14+G117</f>
        <v>0</v>
      </c>
      <c r="H158" s="532">
        <f t="shared" ref="H158:R158" si="37">H89+H14+H117</f>
        <v>0</v>
      </c>
      <c r="I158" s="532">
        <f t="shared" si="37"/>
        <v>0</v>
      </c>
      <c r="J158" s="532">
        <f t="shared" si="37"/>
        <v>0</v>
      </c>
      <c r="K158" s="532">
        <f>K117+K89</f>
        <v>895500</v>
      </c>
      <c r="L158" s="532">
        <f t="shared" si="37"/>
        <v>895500</v>
      </c>
      <c r="M158" s="532">
        <f t="shared" si="37"/>
        <v>0</v>
      </c>
      <c r="N158" s="532">
        <f t="shared" si="37"/>
        <v>0</v>
      </c>
      <c r="O158" s="532">
        <f t="shared" si="37"/>
        <v>0</v>
      </c>
      <c r="P158" s="532">
        <f t="shared" si="37"/>
        <v>0</v>
      </c>
      <c r="Q158" s="532">
        <f t="shared" si="37"/>
        <v>895500</v>
      </c>
      <c r="R158" s="590">
        <f t="shared" si="37"/>
        <v>895500</v>
      </c>
      <c r="S158" s="211"/>
    </row>
    <row r="159" spans="1:19" s="164" customFormat="1" ht="32.25" thickBot="1" x14ac:dyDescent="0.25">
      <c r="A159" s="177"/>
      <c r="B159" s="221" t="s">
        <v>483</v>
      </c>
      <c r="C159" s="222" t="s">
        <v>483</v>
      </c>
      <c r="D159" s="567" t="s">
        <v>483</v>
      </c>
      <c r="E159" s="589" t="s">
        <v>486</v>
      </c>
      <c r="F159" s="532">
        <f>F118+F90</f>
        <v>95000</v>
      </c>
      <c r="G159" s="532">
        <f>G118+G90</f>
        <v>95000</v>
      </c>
      <c r="H159" s="532">
        <f t="shared" ref="H159:Q159" si="38">H118+H90</f>
        <v>0</v>
      </c>
      <c r="I159" s="532">
        <f t="shared" si="38"/>
        <v>0</v>
      </c>
      <c r="J159" s="532">
        <f t="shared" si="38"/>
        <v>0</v>
      </c>
      <c r="K159" s="532">
        <f t="shared" si="38"/>
        <v>1799250</v>
      </c>
      <c r="L159" s="532">
        <f t="shared" si="38"/>
        <v>1799250</v>
      </c>
      <c r="M159" s="532">
        <f t="shared" si="38"/>
        <v>0</v>
      </c>
      <c r="N159" s="532">
        <f t="shared" si="38"/>
        <v>0</v>
      </c>
      <c r="O159" s="532">
        <f t="shared" si="38"/>
        <v>0</v>
      </c>
      <c r="P159" s="532">
        <f t="shared" si="38"/>
        <v>0</v>
      </c>
      <c r="Q159" s="532">
        <f t="shared" si="38"/>
        <v>1799250</v>
      </c>
      <c r="R159" s="730">
        <f t="shared" si="33"/>
        <v>1894250</v>
      </c>
    </row>
    <row r="160" spans="1:19" s="164" customFormat="1" ht="28.15" customHeight="1" x14ac:dyDescent="0.25">
      <c r="A160" s="177"/>
      <c r="B160" s="156"/>
      <c r="C160" s="177"/>
      <c r="D160" s="177"/>
      <c r="E160" s="514" t="s">
        <v>664</v>
      </c>
      <c r="F160" s="725"/>
      <c r="G160" s="726"/>
      <c r="H160" s="166"/>
      <c r="I160" s="166"/>
      <c r="J160" s="166"/>
      <c r="K160" s="727"/>
      <c r="L160" s="727"/>
      <c r="M160" s="727"/>
      <c r="N160" s="727"/>
      <c r="O160" s="728"/>
      <c r="Q160" s="514" t="s">
        <v>663</v>
      </c>
      <c r="R160" s="224"/>
    </row>
    <row r="161" spans="6:18" x14ac:dyDescent="0.2">
      <c r="F161" s="225"/>
      <c r="G161" s="225"/>
      <c r="K161" s="226"/>
      <c r="R161" s="538"/>
    </row>
    <row r="162" spans="6:18" x14ac:dyDescent="0.2">
      <c r="F162" s="225"/>
      <c r="K162" s="226"/>
      <c r="R162" s="538"/>
    </row>
    <row r="163" spans="6:18" x14ac:dyDescent="0.2">
      <c r="R163" s="538"/>
    </row>
  </sheetData>
  <mergeCells count="17">
    <mergeCell ref="N1:P1"/>
    <mergeCell ref="B4:R4"/>
    <mergeCell ref="B7:B9"/>
    <mergeCell ref="C7:C9"/>
    <mergeCell ref="D7:D9"/>
    <mergeCell ref="E7:E9"/>
    <mergeCell ref="F7:J7"/>
    <mergeCell ref="K7:Q7"/>
    <mergeCell ref="R7:R9"/>
    <mergeCell ref="O8:P8"/>
    <mergeCell ref="Q8:Q9"/>
    <mergeCell ref="F8:F9"/>
    <mergeCell ref="G8:G9"/>
    <mergeCell ref="H8:I8"/>
    <mergeCell ref="J8:J9"/>
    <mergeCell ref="K8:K9"/>
    <mergeCell ref="M8:M9"/>
  </mergeCells>
  <printOptions horizontalCentered="1"/>
  <pageMargins left="0.78740157480314965" right="0.59055118110236227" top="1.1811023622047245" bottom="0.39370078740157483" header="0.51181102362204722" footer="0.31496062992125984"/>
  <pageSetup paperSize="9" scale="64" fitToHeight="5" orientation="landscape" horizontalDpi="360" verticalDpi="36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2.75" x14ac:dyDescent="0.2"/>
  <cols>
    <col min="1" max="1" width="20.42578125" style="228" customWidth="1"/>
    <col min="2" max="2" width="23.28515625" style="228" customWidth="1"/>
    <col min="3" max="3" width="17.42578125" style="228" customWidth="1"/>
    <col min="4" max="6" width="33" style="228" customWidth="1"/>
    <col min="7" max="256" width="9.140625" style="228"/>
    <col min="257" max="257" width="20.42578125" style="228" customWidth="1"/>
    <col min="258" max="258" width="23.28515625" style="228" customWidth="1"/>
    <col min="259" max="259" width="17.42578125" style="228" customWidth="1"/>
    <col min="260" max="262" width="33" style="228" customWidth="1"/>
    <col min="263" max="512" width="9.140625" style="228"/>
    <col min="513" max="513" width="20.42578125" style="228" customWidth="1"/>
    <col min="514" max="514" width="23.28515625" style="228" customWidth="1"/>
    <col min="515" max="515" width="17.42578125" style="228" customWidth="1"/>
    <col min="516" max="518" width="33" style="228" customWidth="1"/>
    <col min="519" max="768" width="9.140625" style="228"/>
    <col min="769" max="769" width="20.42578125" style="228" customWidth="1"/>
    <col min="770" max="770" width="23.28515625" style="228" customWidth="1"/>
    <col min="771" max="771" width="17.42578125" style="228" customWidth="1"/>
    <col min="772" max="774" width="33" style="228" customWidth="1"/>
    <col min="775" max="1024" width="9.140625" style="228"/>
    <col min="1025" max="1025" width="20.42578125" style="228" customWidth="1"/>
    <col min="1026" max="1026" width="23.28515625" style="228" customWidth="1"/>
    <col min="1027" max="1027" width="17.42578125" style="228" customWidth="1"/>
    <col min="1028" max="1030" width="33" style="228" customWidth="1"/>
    <col min="1031" max="1280" width="9.140625" style="228"/>
    <col min="1281" max="1281" width="20.42578125" style="228" customWidth="1"/>
    <col min="1282" max="1282" width="23.28515625" style="228" customWidth="1"/>
    <col min="1283" max="1283" width="17.42578125" style="228" customWidth="1"/>
    <col min="1284" max="1286" width="33" style="228" customWidth="1"/>
    <col min="1287" max="1536" width="9.140625" style="228"/>
    <col min="1537" max="1537" width="20.42578125" style="228" customWidth="1"/>
    <col min="1538" max="1538" width="23.28515625" style="228" customWidth="1"/>
    <col min="1539" max="1539" width="17.42578125" style="228" customWidth="1"/>
    <col min="1540" max="1542" width="33" style="228" customWidth="1"/>
    <col min="1543" max="1792" width="9.140625" style="228"/>
    <col min="1793" max="1793" width="20.42578125" style="228" customWidth="1"/>
    <col min="1794" max="1794" width="23.28515625" style="228" customWidth="1"/>
    <col min="1795" max="1795" width="17.42578125" style="228" customWidth="1"/>
    <col min="1796" max="1798" width="33" style="228" customWidth="1"/>
    <col min="1799" max="2048" width="9.140625" style="228"/>
    <col min="2049" max="2049" width="20.42578125" style="228" customWidth="1"/>
    <col min="2050" max="2050" width="23.28515625" style="228" customWidth="1"/>
    <col min="2051" max="2051" width="17.42578125" style="228" customWidth="1"/>
    <col min="2052" max="2054" width="33" style="228" customWidth="1"/>
    <col min="2055" max="2304" width="9.140625" style="228"/>
    <col min="2305" max="2305" width="20.42578125" style="228" customWidth="1"/>
    <col min="2306" max="2306" width="23.28515625" style="228" customWidth="1"/>
    <col min="2307" max="2307" width="17.42578125" style="228" customWidth="1"/>
    <col min="2308" max="2310" width="33" style="228" customWidth="1"/>
    <col min="2311" max="2560" width="9.140625" style="228"/>
    <col min="2561" max="2561" width="20.42578125" style="228" customWidth="1"/>
    <col min="2562" max="2562" width="23.28515625" style="228" customWidth="1"/>
    <col min="2563" max="2563" width="17.42578125" style="228" customWidth="1"/>
    <col min="2564" max="2566" width="33" style="228" customWidth="1"/>
    <col min="2567" max="2816" width="9.140625" style="228"/>
    <col min="2817" max="2817" width="20.42578125" style="228" customWidth="1"/>
    <col min="2818" max="2818" width="23.28515625" style="228" customWidth="1"/>
    <col min="2819" max="2819" width="17.42578125" style="228" customWidth="1"/>
    <col min="2820" max="2822" width="33" style="228" customWidth="1"/>
    <col min="2823" max="3072" width="9.140625" style="228"/>
    <col min="3073" max="3073" width="20.42578125" style="228" customWidth="1"/>
    <col min="3074" max="3074" width="23.28515625" style="228" customWidth="1"/>
    <col min="3075" max="3075" width="17.42578125" style="228" customWidth="1"/>
    <col min="3076" max="3078" width="33" style="228" customWidth="1"/>
    <col min="3079" max="3328" width="9.140625" style="228"/>
    <col min="3329" max="3329" width="20.42578125" style="228" customWidth="1"/>
    <col min="3330" max="3330" width="23.28515625" style="228" customWidth="1"/>
    <col min="3331" max="3331" width="17.42578125" style="228" customWidth="1"/>
    <col min="3332" max="3334" width="33" style="228" customWidth="1"/>
    <col min="3335" max="3584" width="9.140625" style="228"/>
    <col min="3585" max="3585" width="20.42578125" style="228" customWidth="1"/>
    <col min="3586" max="3586" width="23.28515625" style="228" customWidth="1"/>
    <col min="3587" max="3587" width="17.42578125" style="228" customWidth="1"/>
    <col min="3588" max="3590" width="33" style="228" customWidth="1"/>
    <col min="3591" max="3840" width="9.140625" style="228"/>
    <col min="3841" max="3841" width="20.42578125" style="228" customWidth="1"/>
    <col min="3842" max="3842" width="23.28515625" style="228" customWidth="1"/>
    <col min="3843" max="3843" width="17.42578125" style="228" customWidth="1"/>
    <col min="3844" max="3846" width="33" style="228" customWidth="1"/>
    <col min="3847" max="4096" width="9.140625" style="228"/>
    <col min="4097" max="4097" width="20.42578125" style="228" customWidth="1"/>
    <col min="4098" max="4098" width="23.28515625" style="228" customWidth="1"/>
    <col min="4099" max="4099" width="17.42578125" style="228" customWidth="1"/>
    <col min="4100" max="4102" width="33" style="228" customWidth="1"/>
    <col min="4103" max="4352" width="9.140625" style="228"/>
    <col min="4353" max="4353" width="20.42578125" style="228" customWidth="1"/>
    <col min="4354" max="4354" width="23.28515625" style="228" customWidth="1"/>
    <col min="4355" max="4355" width="17.42578125" style="228" customWidth="1"/>
    <col min="4356" max="4358" width="33" style="228" customWidth="1"/>
    <col min="4359" max="4608" width="9.140625" style="228"/>
    <col min="4609" max="4609" width="20.42578125" style="228" customWidth="1"/>
    <col min="4610" max="4610" width="23.28515625" style="228" customWidth="1"/>
    <col min="4611" max="4611" width="17.42578125" style="228" customWidth="1"/>
    <col min="4612" max="4614" width="33" style="228" customWidth="1"/>
    <col min="4615" max="4864" width="9.140625" style="228"/>
    <col min="4865" max="4865" width="20.42578125" style="228" customWidth="1"/>
    <col min="4866" max="4866" width="23.28515625" style="228" customWidth="1"/>
    <col min="4867" max="4867" width="17.42578125" style="228" customWidth="1"/>
    <col min="4868" max="4870" width="33" style="228" customWidth="1"/>
    <col min="4871" max="5120" width="9.140625" style="228"/>
    <col min="5121" max="5121" width="20.42578125" style="228" customWidth="1"/>
    <col min="5122" max="5122" width="23.28515625" style="228" customWidth="1"/>
    <col min="5123" max="5123" width="17.42578125" style="228" customWidth="1"/>
    <col min="5124" max="5126" width="33" style="228" customWidth="1"/>
    <col min="5127" max="5376" width="9.140625" style="228"/>
    <col min="5377" max="5377" width="20.42578125" style="228" customWidth="1"/>
    <col min="5378" max="5378" width="23.28515625" style="228" customWidth="1"/>
    <col min="5379" max="5379" width="17.42578125" style="228" customWidth="1"/>
    <col min="5380" max="5382" width="33" style="228" customWidth="1"/>
    <col min="5383" max="5632" width="9.140625" style="228"/>
    <col min="5633" max="5633" width="20.42578125" style="228" customWidth="1"/>
    <col min="5634" max="5634" width="23.28515625" style="228" customWidth="1"/>
    <col min="5635" max="5635" width="17.42578125" style="228" customWidth="1"/>
    <col min="5636" max="5638" width="33" style="228" customWidth="1"/>
    <col min="5639" max="5888" width="9.140625" style="228"/>
    <col min="5889" max="5889" width="20.42578125" style="228" customWidth="1"/>
    <col min="5890" max="5890" width="23.28515625" style="228" customWidth="1"/>
    <col min="5891" max="5891" width="17.42578125" style="228" customWidth="1"/>
    <col min="5892" max="5894" width="33" style="228" customWidth="1"/>
    <col min="5895" max="6144" width="9.140625" style="228"/>
    <col min="6145" max="6145" width="20.42578125" style="228" customWidth="1"/>
    <col min="6146" max="6146" width="23.28515625" style="228" customWidth="1"/>
    <col min="6147" max="6147" width="17.42578125" style="228" customWidth="1"/>
    <col min="6148" max="6150" width="33" style="228" customWidth="1"/>
    <col min="6151" max="6400" width="9.140625" style="228"/>
    <col min="6401" max="6401" width="20.42578125" style="228" customWidth="1"/>
    <col min="6402" max="6402" width="23.28515625" style="228" customWidth="1"/>
    <col min="6403" max="6403" width="17.42578125" style="228" customWidth="1"/>
    <col min="6404" max="6406" width="33" style="228" customWidth="1"/>
    <col min="6407" max="6656" width="9.140625" style="228"/>
    <col min="6657" max="6657" width="20.42578125" style="228" customWidth="1"/>
    <col min="6658" max="6658" width="23.28515625" style="228" customWidth="1"/>
    <col min="6659" max="6659" width="17.42578125" style="228" customWidth="1"/>
    <col min="6660" max="6662" width="33" style="228" customWidth="1"/>
    <col min="6663" max="6912" width="9.140625" style="228"/>
    <col min="6913" max="6913" width="20.42578125" style="228" customWidth="1"/>
    <col min="6914" max="6914" width="23.28515625" style="228" customWidth="1"/>
    <col min="6915" max="6915" width="17.42578125" style="228" customWidth="1"/>
    <col min="6916" max="6918" width="33" style="228" customWidth="1"/>
    <col min="6919" max="7168" width="9.140625" style="228"/>
    <col min="7169" max="7169" width="20.42578125" style="228" customWidth="1"/>
    <col min="7170" max="7170" width="23.28515625" style="228" customWidth="1"/>
    <col min="7171" max="7171" width="17.42578125" style="228" customWidth="1"/>
    <col min="7172" max="7174" width="33" style="228" customWidth="1"/>
    <col min="7175" max="7424" width="9.140625" style="228"/>
    <col min="7425" max="7425" width="20.42578125" style="228" customWidth="1"/>
    <col min="7426" max="7426" width="23.28515625" style="228" customWidth="1"/>
    <col min="7427" max="7427" width="17.42578125" style="228" customWidth="1"/>
    <col min="7428" max="7430" width="33" style="228" customWidth="1"/>
    <col min="7431" max="7680" width="9.140625" style="228"/>
    <col min="7681" max="7681" width="20.42578125" style="228" customWidth="1"/>
    <col min="7682" max="7682" width="23.28515625" style="228" customWidth="1"/>
    <col min="7683" max="7683" width="17.42578125" style="228" customWidth="1"/>
    <col min="7684" max="7686" width="33" style="228" customWidth="1"/>
    <col min="7687" max="7936" width="9.140625" style="228"/>
    <col min="7937" max="7937" width="20.42578125" style="228" customWidth="1"/>
    <col min="7938" max="7938" width="23.28515625" style="228" customWidth="1"/>
    <col min="7939" max="7939" width="17.42578125" style="228" customWidth="1"/>
    <col min="7940" max="7942" width="33" style="228" customWidth="1"/>
    <col min="7943" max="8192" width="9.140625" style="228"/>
    <col min="8193" max="8193" width="20.42578125" style="228" customWidth="1"/>
    <col min="8194" max="8194" width="23.28515625" style="228" customWidth="1"/>
    <col min="8195" max="8195" width="17.42578125" style="228" customWidth="1"/>
    <col min="8196" max="8198" width="33" style="228" customWidth="1"/>
    <col min="8199" max="8448" width="9.140625" style="228"/>
    <col min="8449" max="8449" width="20.42578125" style="228" customWidth="1"/>
    <col min="8450" max="8450" width="23.28515625" style="228" customWidth="1"/>
    <col min="8451" max="8451" width="17.42578125" style="228" customWidth="1"/>
    <col min="8452" max="8454" width="33" style="228" customWidth="1"/>
    <col min="8455" max="8704" width="9.140625" style="228"/>
    <col min="8705" max="8705" width="20.42578125" style="228" customWidth="1"/>
    <col min="8706" max="8706" width="23.28515625" style="228" customWidth="1"/>
    <col min="8707" max="8707" width="17.42578125" style="228" customWidth="1"/>
    <col min="8708" max="8710" width="33" style="228" customWidth="1"/>
    <col min="8711" max="8960" width="9.140625" style="228"/>
    <col min="8961" max="8961" width="20.42578125" style="228" customWidth="1"/>
    <col min="8962" max="8962" width="23.28515625" style="228" customWidth="1"/>
    <col min="8963" max="8963" width="17.42578125" style="228" customWidth="1"/>
    <col min="8964" max="8966" width="33" style="228" customWidth="1"/>
    <col min="8967" max="9216" width="9.140625" style="228"/>
    <col min="9217" max="9217" width="20.42578125" style="228" customWidth="1"/>
    <col min="9218" max="9218" width="23.28515625" style="228" customWidth="1"/>
    <col min="9219" max="9219" width="17.42578125" style="228" customWidth="1"/>
    <col min="9220" max="9222" width="33" style="228" customWidth="1"/>
    <col min="9223" max="9472" width="9.140625" style="228"/>
    <col min="9473" max="9473" width="20.42578125" style="228" customWidth="1"/>
    <col min="9474" max="9474" width="23.28515625" style="228" customWidth="1"/>
    <col min="9475" max="9475" width="17.42578125" style="228" customWidth="1"/>
    <col min="9476" max="9478" width="33" style="228" customWidth="1"/>
    <col min="9479" max="9728" width="9.140625" style="228"/>
    <col min="9729" max="9729" width="20.42578125" style="228" customWidth="1"/>
    <col min="9730" max="9730" width="23.28515625" style="228" customWidth="1"/>
    <col min="9731" max="9731" width="17.42578125" style="228" customWidth="1"/>
    <col min="9732" max="9734" width="33" style="228" customWidth="1"/>
    <col min="9735" max="9984" width="9.140625" style="228"/>
    <col min="9985" max="9985" width="20.42578125" style="228" customWidth="1"/>
    <col min="9986" max="9986" width="23.28515625" style="228" customWidth="1"/>
    <col min="9987" max="9987" width="17.42578125" style="228" customWidth="1"/>
    <col min="9988" max="9990" width="33" style="228" customWidth="1"/>
    <col min="9991" max="10240" width="9.140625" style="228"/>
    <col min="10241" max="10241" width="20.42578125" style="228" customWidth="1"/>
    <col min="10242" max="10242" width="23.28515625" style="228" customWidth="1"/>
    <col min="10243" max="10243" width="17.42578125" style="228" customWidth="1"/>
    <col min="10244" max="10246" width="33" style="228" customWidth="1"/>
    <col min="10247" max="10496" width="9.140625" style="228"/>
    <col min="10497" max="10497" width="20.42578125" style="228" customWidth="1"/>
    <col min="10498" max="10498" width="23.28515625" style="228" customWidth="1"/>
    <col min="10499" max="10499" width="17.42578125" style="228" customWidth="1"/>
    <col min="10500" max="10502" width="33" style="228" customWidth="1"/>
    <col min="10503" max="10752" width="9.140625" style="228"/>
    <col min="10753" max="10753" width="20.42578125" style="228" customWidth="1"/>
    <col min="10754" max="10754" width="23.28515625" style="228" customWidth="1"/>
    <col min="10755" max="10755" width="17.42578125" style="228" customWidth="1"/>
    <col min="10756" max="10758" width="33" style="228" customWidth="1"/>
    <col min="10759" max="11008" width="9.140625" style="228"/>
    <col min="11009" max="11009" width="20.42578125" style="228" customWidth="1"/>
    <col min="11010" max="11010" width="23.28515625" style="228" customWidth="1"/>
    <col min="11011" max="11011" width="17.42578125" style="228" customWidth="1"/>
    <col min="11012" max="11014" width="33" style="228" customWidth="1"/>
    <col min="11015" max="11264" width="9.140625" style="228"/>
    <col min="11265" max="11265" width="20.42578125" style="228" customWidth="1"/>
    <col min="11266" max="11266" width="23.28515625" style="228" customWidth="1"/>
    <col min="11267" max="11267" width="17.42578125" style="228" customWidth="1"/>
    <col min="11268" max="11270" width="33" style="228" customWidth="1"/>
    <col min="11271" max="11520" width="9.140625" style="228"/>
    <col min="11521" max="11521" width="20.42578125" style="228" customWidth="1"/>
    <col min="11522" max="11522" width="23.28515625" style="228" customWidth="1"/>
    <col min="11523" max="11523" width="17.42578125" style="228" customWidth="1"/>
    <col min="11524" max="11526" width="33" style="228" customWidth="1"/>
    <col min="11527" max="11776" width="9.140625" style="228"/>
    <col min="11777" max="11777" width="20.42578125" style="228" customWidth="1"/>
    <col min="11778" max="11778" width="23.28515625" style="228" customWidth="1"/>
    <col min="11779" max="11779" width="17.42578125" style="228" customWidth="1"/>
    <col min="11780" max="11782" width="33" style="228" customWidth="1"/>
    <col min="11783" max="12032" width="9.140625" style="228"/>
    <col min="12033" max="12033" width="20.42578125" style="228" customWidth="1"/>
    <col min="12034" max="12034" width="23.28515625" style="228" customWidth="1"/>
    <col min="12035" max="12035" width="17.42578125" style="228" customWidth="1"/>
    <col min="12036" max="12038" width="33" style="228" customWidth="1"/>
    <col min="12039" max="12288" width="9.140625" style="228"/>
    <col min="12289" max="12289" width="20.42578125" style="228" customWidth="1"/>
    <col min="12290" max="12290" width="23.28515625" style="228" customWidth="1"/>
    <col min="12291" max="12291" width="17.42578125" style="228" customWidth="1"/>
    <col min="12292" max="12294" width="33" style="228" customWidth="1"/>
    <col min="12295" max="12544" width="9.140625" style="228"/>
    <col min="12545" max="12545" width="20.42578125" style="228" customWidth="1"/>
    <col min="12546" max="12546" width="23.28515625" style="228" customWidth="1"/>
    <col min="12547" max="12547" width="17.42578125" style="228" customWidth="1"/>
    <col min="12548" max="12550" width="33" style="228" customWidth="1"/>
    <col min="12551" max="12800" width="9.140625" style="228"/>
    <col min="12801" max="12801" width="20.42578125" style="228" customWidth="1"/>
    <col min="12802" max="12802" width="23.28515625" style="228" customWidth="1"/>
    <col min="12803" max="12803" width="17.42578125" style="228" customWidth="1"/>
    <col min="12804" max="12806" width="33" style="228" customWidth="1"/>
    <col min="12807" max="13056" width="9.140625" style="228"/>
    <col min="13057" max="13057" width="20.42578125" style="228" customWidth="1"/>
    <col min="13058" max="13058" width="23.28515625" style="228" customWidth="1"/>
    <col min="13059" max="13059" width="17.42578125" style="228" customWidth="1"/>
    <col min="13060" max="13062" width="33" style="228" customWidth="1"/>
    <col min="13063" max="13312" width="9.140625" style="228"/>
    <col min="13313" max="13313" width="20.42578125" style="228" customWidth="1"/>
    <col min="13314" max="13314" width="23.28515625" style="228" customWidth="1"/>
    <col min="13315" max="13315" width="17.42578125" style="228" customWidth="1"/>
    <col min="13316" max="13318" width="33" style="228" customWidth="1"/>
    <col min="13319" max="13568" width="9.140625" style="228"/>
    <col min="13569" max="13569" width="20.42578125" style="228" customWidth="1"/>
    <col min="13570" max="13570" width="23.28515625" style="228" customWidth="1"/>
    <col min="13571" max="13571" width="17.42578125" style="228" customWidth="1"/>
    <col min="13572" max="13574" width="33" style="228" customWidth="1"/>
    <col min="13575" max="13824" width="9.140625" style="228"/>
    <col min="13825" max="13825" width="20.42578125" style="228" customWidth="1"/>
    <col min="13826" max="13826" width="23.28515625" style="228" customWidth="1"/>
    <col min="13827" max="13827" width="17.42578125" style="228" customWidth="1"/>
    <col min="13828" max="13830" width="33" style="228" customWidth="1"/>
    <col min="13831" max="14080" width="9.140625" style="228"/>
    <col min="14081" max="14081" width="20.42578125" style="228" customWidth="1"/>
    <col min="14082" max="14082" width="23.28515625" style="228" customWidth="1"/>
    <col min="14083" max="14083" width="17.42578125" style="228" customWidth="1"/>
    <col min="14084" max="14086" width="33" style="228" customWidth="1"/>
    <col min="14087" max="14336" width="9.140625" style="228"/>
    <col min="14337" max="14337" width="20.42578125" style="228" customWidth="1"/>
    <col min="14338" max="14338" width="23.28515625" style="228" customWidth="1"/>
    <col min="14339" max="14339" width="17.42578125" style="228" customWidth="1"/>
    <col min="14340" max="14342" width="33" style="228" customWidth="1"/>
    <col min="14343" max="14592" width="9.140625" style="228"/>
    <col min="14593" max="14593" width="20.42578125" style="228" customWidth="1"/>
    <col min="14594" max="14594" width="23.28515625" style="228" customWidth="1"/>
    <col min="14595" max="14595" width="17.42578125" style="228" customWidth="1"/>
    <col min="14596" max="14598" width="33" style="228" customWidth="1"/>
    <col min="14599" max="14848" width="9.140625" style="228"/>
    <col min="14849" max="14849" width="20.42578125" style="228" customWidth="1"/>
    <col min="14850" max="14850" width="23.28515625" style="228" customWidth="1"/>
    <col min="14851" max="14851" width="17.42578125" style="228" customWidth="1"/>
    <col min="14852" max="14854" width="33" style="228" customWidth="1"/>
    <col min="14855" max="15104" width="9.140625" style="228"/>
    <col min="15105" max="15105" width="20.42578125" style="228" customWidth="1"/>
    <col min="15106" max="15106" width="23.28515625" style="228" customWidth="1"/>
    <col min="15107" max="15107" width="17.42578125" style="228" customWidth="1"/>
    <col min="15108" max="15110" width="33" style="228" customWidth="1"/>
    <col min="15111" max="15360" width="9.140625" style="228"/>
    <col min="15361" max="15361" width="20.42578125" style="228" customWidth="1"/>
    <col min="15362" max="15362" width="23.28515625" style="228" customWidth="1"/>
    <col min="15363" max="15363" width="17.42578125" style="228" customWidth="1"/>
    <col min="15364" max="15366" width="33" style="228" customWidth="1"/>
    <col min="15367" max="15616" width="9.140625" style="228"/>
    <col min="15617" max="15617" width="20.42578125" style="228" customWidth="1"/>
    <col min="15618" max="15618" width="23.28515625" style="228" customWidth="1"/>
    <col min="15619" max="15619" width="17.42578125" style="228" customWidth="1"/>
    <col min="15620" max="15622" width="33" style="228" customWidth="1"/>
    <col min="15623" max="15872" width="9.140625" style="228"/>
    <col min="15873" max="15873" width="20.42578125" style="228" customWidth="1"/>
    <col min="15874" max="15874" width="23.28515625" style="228" customWidth="1"/>
    <col min="15875" max="15875" width="17.42578125" style="228" customWidth="1"/>
    <col min="15876" max="15878" width="33" style="228" customWidth="1"/>
    <col min="15879" max="16128" width="9.140625" style="228"/>
    <col min="16129" max="16129" width="20.42578125" style="228" customWidth="1"/>
    <col min="16130" max="16130" width="23.28515625" style="228" customWidth="1"/>
    <col min="16131" max="16131" width="17.42578125" style="228" customWidth="1"/>
    <col min="16132" max="16134" width="33" style="228" customWidth="1"/>
    <col min="16135" max="16384" width="9.140625" style="228"/>
  </cols>
  <sheetData>
    <row r="1" spans="1:16" ht="13.5" customHeight="1" x14ac:dyDescent="0.25">
      <c r="I1" s="229" t="s">
        <v>487</v>
      </c>
    </row>
    <row r="2" spans="1:16" ht="13.5" hidden="1" customHeight="1" x14ac:dyDescent="0.25">
      <c r="I2" s="14" t="s">
        <v>184</v>
      </c>
    </row>
    <row r="3" spans="1:16" ht="13.5" hidden="1" customHeight="1" x14ac:dyDescent="0.25">
      <c r="I3" s="14" t="s">
        <v>185</v>
      </c>
    </row>
    <row r="4" spans="1:16" ht="13.5" hidden="1" customHeight="1" x14ac:dyDescent="0.25">
      <c r="I4" s="14" t="s">
        <v>633</v>
      </c>
    </row>
    <row r="5" spans="1:16" ht="13.5" hidden="1" customHeight="1" x14ac:dyDescent="0.2">
      <c r="A5" s="843" t="s">
        <v>488</v>
      </c>
      <c r="B5" s="843"/>
      <c r="C5" s="843"/>
      <c r="D5" s="843"/>
      <c r="E5" s="843"/>
      <c r="F5" s="843"/>
      <c r="G5" s="843"/>
      <c r="H5" s="843"/>
      <c r="I5" s="843"/>
      <c r="J5" s="843"/>
      <c r="K5" s="843"/>
      <c r="L5" s="843"/>
      <c r="M5" s="843"/>
      <c r="N5" s="843"/>
      <c r="O5" s="843"/>
      <c r="P5" s="843"/>
    </row>
    <row r="6" spans="1:16" ht="13.5" hidden="1" customHeight="1" x14ac:dyDescent="0.2">
      <c r="A6" s="843" t="s">
        <v>187</v>
      </c>
      <c r="B6" s="843"/>
      <c r="C6" s="843"/>
      <c r="D6" s="843"/>
      <c r="E6" s="843"/>
      <c r="F6" s="843"/>
      <c r="G6" s="843"/>
      <c r="H6" s="843"/>
      <c r="I6" s="843"/>
      <c r="J6" s="843"/>
      <c r="K6" s="843"/>
      <c r="L6" s="843"/>
      <c r="M6" s="843"/>
      <c r="N6" s="843"/>
      <c r="O6" s="843"/>
      <c r="P6" s="843"/>
    </row>
    <row r="7" spans="1:16" ht="15.75" hidden="1" x14ac:dyDescent="0.2">
      <c r="A7" s="162">
        <v>11503000000</v>
      </c>
    </row>
    <row r="8" spans="1:16" ht="15.75" hidden="1" x14ac:dyDescent="0.2">
      <c r="A8" s="162" t="s">
        <v>2</v>
      </c>
    </row>
    <row r="9" spans="1:16" ht="13.5" hidden="1" thickBot="1" x14ac:dyDescent="0.25">
      <c r="O9" s="228" t="s">
        <v>188</v>
      </c>
    </row>
    <row r="10" spans="1:16" ht="222.75" hidden="1" customHeight="1" thickBot="1" x14ac:dyDescent="0.25">
      <c r="A10" s="844" t="s">
        <v>4</v>
      </c>
      <c r="B10" s="847" t="s">
        <v>5</v>
      </c>
      <c r="C10" s="847" t="s">
        <v>6</v>
      </c>
      <c r="D10" s="847" t="s">
        <v>489</v>
      </c>
      <c r="E10" s="850" t="s">
        <v>490</v>
      </c>
      <c r="F10" s="851"/>
      <c r="G10" s="851"/>
      <c r="H10" s="852"/>
      <c r="I10" s="850" t="s">
        <v>491</v>
      </c>
      <c r="J10" s="851"/>
      <c r="K10" s="851"/>
      <c r="L10" s="852"/>
      <c r="M10" s="850" t="s">
        <v>492</v>
      </c>
      <c r="N10" s="851"/>
      <c r="O10" s="851"/>
      <c r="P10" s="852"/>
    </row>
    <row r="11" spans="1:16" ht="16.5" hidden="1" thickBot="1" x14ac:dyDescent="0.25">
      <c r="A11" s="845"/>
      <c r="B11" s="848"/>
      <c r="C11" s="848"/>
      <c r="D11" s="848"/>
      <c r="E11" s="841" t="s">
        <v>493</v>
      </c>
      <c r="F11" s="850" t="s">
        <v>494</v>
      </c>
      <c r="G11" s="852"/>
      <c r="H11" s="841" t="s">
        <v>295</v>
      </c>
      <c r="I11" s="841" t="s">
        <v>493</v>
      </c>
      <c r="J11" s="850" t="s">
        <v>494</v>
      </c>
      <c r="K11" s="852"/>
      <c r="L11" s="841" t="s">
        <v>295</v>
      </c>
      <c r="M11" s="841" t="s">
        <v>493</v>
      </c>
      <c r="N11" s="850" t="s">
        <v>494</v>
      </c>
      <c r="O11" s="852"/>
      <c r="P11" s="841" t="s">
        <v>295</v>
      </c>
    </row>
    <row r="12" spans="1:16" ht="95.25" hidden="1" thickBot="1" x14ac:dyDescent="0.25">
      <c r="A12" s="846"/>
      <c r="B12" s="849"/>
      <c r="C12" s="849"/>
      <c r="D12" s="849"/>
      <c r="E12" s="842"/>
      <c r="F12" s="230" t="s">
        <v>13</v>
      </c>
      <c r="G12" s="230" t="s">
        <v>14</v>
      </c>
      <c r="H12" s="842"/>
      <c r="I12" s="842"/>
      <c r="J12" s="230" t="s">
        <v>13</v>
      </c>
      <c r="K12" s="230" t="s">
        <v>14</v>
      </c>
      <c r="L12" s="842"/>
      <c r="M12" s="842"/>
      <c r="N12" s="230" t="s">
        <v>13</v>
      </c>
      <c r="O12" s="230" t="s">
        <v>14</v>
      </c>
      <c r="P12" s="842"/>
    </row>
    <row r="13" spans="1:16" ht="16.5" hidden="1" thickBot="1" x14ac:dyDescent="0.25">
      <c r="A13" s="231">
        <v>1</v>
      </c>
      <c r="B13" s="232">
        <v>2</v>
      </c>
      <c r="C13" s="232">
        <v>3</v>
      </c>
      <c r="D13" s="232">
        <v>4</v>
      </c>
      <c r="E13" s="232">
        <v>5</v>
      </c>
      <c r="F13" s="232">
        <v>6</v>
      </c>
      <c r="G13" s="232">
        <v>7</v>
      </c>
      <c r="H13" s="232">
        <v>8</v>
      </c>
      <c r="I13" s="232">
        <v>9</v>
      </c>
      <c r="J13" s="232">
        <v>10</v>
      </c>
      <c r="K13" s="232">
        <v>11</v>
      </c>
      <c r="L13" s="232">
        <v>12</v>
      </c>
      <c r="M13" s="232">
        <v>13</v>
      </c>
      <c r="N13" s="232">
        <v>14</v>
      </c>
      <c r="O13" s="232">
        <v>15</v>
      </c>
      <c r="P13" s="232">
        <v>16</v>
      </c>
    </row>
    <row r="14" spans="1:16" ht="16.5" hidden="1" thickBot="1" x14ac:dyDescent="0.25">
      <c r="A14" s="231" t="s">
        <v>495</v>
      </c>
      <c r="B14" s="231" t="s">
        <v>495</v>
      </c>
      <c r="C14" s="231" t="s">
        <v>495</v>
      </c>
      <c r="D14" s="231" t="s">
        <v>495</v>
      </c>
      <c r="E14" s="231" t="s">
        <v>495</v>
      </c>
      <c r="F14" s="231" t="s">
        <v>495</v>
      </c>
      <c r="G14" s="231" t="s">
        <v>495</v>
      </c>
      <c r="H14" s="231" t="s">
        <v>495</v>
      </c>
      <c r="I14" s="231" t="s">
        <v>495</v>
      </c>
      <c r="J14" s="231" t="s">
        <v>495</v>
      </c>
      <c r="K14" s="231" t="s">
        <v>495</v>
      </c>
      <c r="L14" s="231" t="s">
        <v>495</v>
      </c>
      <c r="M14" s="231" t="s">
        <v>495</v>
      </c>
      <c r="N14" s="231" t="s">
        <v>495</v>
      </c>
      <c r="O14" s="231" t="s">
        <v>495</v>
      </c>
      <c r="P14" s="231" t="s">
        <v>495</v>
      </c>
    </row>
    <row r="15" spans="1:16" ht="16.5" hidden="1" thickBot="1" x14ac:dyDescent="0.25">
      <c r="A15" s="231" t="s">
        <v>483</v>
      </c>
      <c r="B15" s="232" t="s">
        <v>483</v>
      </c>
      <c r="C15" s="232" t="s">
        <v>483</v>
      </c>
      <c r="D15" s="233" t="s">
        <v>182</v>
      </c>
      <c r="E15" s="232" t="s">
        <v>344</v>
      </c>
      <c r="F15" s="232" t="s">
        <v>344</v>
      </c>
      <c r="G15" s="232" t="s">
        <v>344</v>
      </c>
      <c r="H15" s="232" t="s">
        <v>344</v>
      </c>
      <c r="I15" s="232" t="s">
        <v>344</v>
      </c>
      <c r="J15" s="232" t="s">
        <v>344</v>
      </c>
      <c r="K15" s="232" t="s">
        <v>344</v>
      </c>
      <c r="L15" s="232" t="s">
        <v>344</v>
      </c>
      <c r="M15" s="232" t="s">
        <v>344</v>
      </c>
      <c r="N15" s="232" t="s">
        <v>344</v>
      </c>
      <c r="O15" s="232" t="s">
        <v>344</v>
      </c>
      <c r="P15" s="232" t="s">
        <v>344</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s>
  <pageMargins left="0.70866141732283472" right="0.51181102362204722" top="0.94488188976377963" bottom="0.55118110236220474" header="0.31496062992125984" footer="0.31496062992125984"/>
  <pageSetup paperSize="9" scale="76"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3"/>
  <sheetViews>
    <sheetView view="pageBreakPreview" topLeftCell="A135" zoomScale="60" zoomScaleNormal="100" workbookViewId="0">
      <selection activeCell="AW173" sqref="AW173"/>
    </sheetView>
  </sheetViews>
  <sheetFormatPr defaultRowHeight="15.75" x14ac:dyDescent="0.25"/>
  <cols>
    <col min="1" max="1" width="20.7109375" style="235" customWidth="1"/>
    <col min="2" max="2" width="75.28515625" style="235" customWidth="1"/>
    <col min="3" max="3" width="34.7109375" style="235" customWidth="1"/>
    <col min="4" max="4" width="12.7109375" style="235" hidden="1" customWidth="1"/>
    <col min="5" max="5" width="14.5703125" style="235" hidden="1" customWidth="1"/>
    <col min="6" max="6" width="19.85546875" style="235" hidden="1" customWidth="1"/>
    <col min="7" max="7" width="15" style="235" hidden="1" customWidth="1"/>
    <col min="8" max="8" width="28.85546875" style="235" hidden="1" customWidth="1"/>
    <col min="9" max="9" width="0" style="235" hidden="1" customWidth="1"/>
    <col min="10" max="10" width="9.140625" style="235" hidden="1" customWidth="1"/>
    <col min="11" max="47" width="0" style="235" hidden="1" customWidth="1"/>
    <col min="48" max="48" width="4" style="235" customWidth="1"/>
    <col min="49" max="49" width="9.140625" style="235" customWidth="1"/>
    <col min="50" max="255" width="9.140625" style="235"/>
    <col min="256" max="257" width="20.7109375" style="235" customWidth="1"/>
    <col min="258" max="258" width="73.28515625" style="235" customWidth="1"/>
    <col min="259" max="259" width="31.42578125" style="235" customWidth="1"/>
    <col min="260" max="511" width="9.140625" style="235"/>
    <col min="512" max="513" width="20.7109375" style="235" customWidth="1"/>
    <col min="514" max="514" width="73.28515625" style="235" customWidth="1"/>
    <col min="515" max="515" width="31.42578125" style="235" customWidth="1"/>
    <col min="516" max="767" width="9.140625" style="235"/>
    <col min="768" max="769" width="20.7109375" style="235" customWidth="1"/>
    <col min="770" max="770" width="73.28515625" style="235" customWidth="1"/>
    <col min="771" max="771" width="31.42578125" style="235" customWidth="1"/>
    <col min="772" max="1023" width="9.140625" style="235"/>
    <col min="1024" max="1025" width="20.7109375" style="235" customWidth="1"/>
    <col min="1026" max="1026" width="73.28515625" style="235" customWidth="1"/>
    <col min="1027" max="1027" width="31.42578125" style="235" customWidth="1"/>
    <col min="1028" max="1279" width="9.140625" style="235"/>
    <col min="1280" max="1281" width="20.7109375" style="235" customWidth="1"/>
    <col min="1282" max="1282" width="73.28515625" style="235" customWidth="1"/>
    <col min="1283" max="1283" width="31.42578125" style="235" customWidth="1"/>
    <col min="1284" max="1535" width="9.140625" style="235"/>
    <col min="1536" max="1537" width="20.7109375" style="235" customWidth="1"/>
    <col min="1538" max="1538" width="73.28515625" style="235" customWidth="1"/>
    <col min="1539" max="1539" width="31.42578125" style="235" customWidth="1"/>
    <col min="1540" max="1791" width="9.140625" style="235"/>
    <col min="1792" max="1793" width="20.7109375" style="235" customWidth="1"/>
    <col min="1794" max="1794" width="73.28515625" style="235" customWidth="1"/>
    <col min="1795" max="1795" width="31.42578125" style="235" customWidth="1"/>
    <col min="1796" max="2047" width="9.140625" style="235"/>
    <col min="2048" max="2049" width="20.7109375" style="235" customWidth="1"/>
    <col min="2050" max="2050" width="73.28515625" style="235" customWidth="1"/>
    <col min="2051" max="2051" width="31.42578125" style="235" customWidth="1"/>
    <col min="2052" max="2303" width="9.140625" style="235"/>
    <col min="2304" max="2305" width="20.7109375" style="235" customWidth="1"/>
    <col min="2306" max="2306" width="73.28515625" style="235" customWidth="1"/>
    <col min="2307" max="2307" width="31.42578125" style="235" customWidth="1"/>
    <col min="2308" max="2559" width="9.140625" style="235"/>
    <col min="2560" max="2561" width="20.7109375" style="235" customWidth="1"/>
    <col min="2562" max="2562" width="73.28515625" style="235" customWidth="1"/>
    <col min="2563" max="2563" width="31.42578125" style="235" customWidth="1"/>
    <col min="2564" max="2815" width="9.140625" style="235"/>
    <col min="2816" max="2817" width="20.7109375" style="235" customWidth="1"/>
    <col min="2818" max="2818" width="73.28515625" style="235" customWidth="1"/>
    <col min="2819" max="2819" width="31.42578125" style="235" customWidth="1"/>
    <col min="2820" max="3071" width="9.140625" style="235"/>
    <col min="3072" max="3073" width="20.7109375" style="235" customWidth="1"/>
    <col min="3074" max="3074" width="73.28515625" style="235" customWidth="1"/>
    <col min="3075" max="3075" width="31.42578125" style="235" customWidth="1"/>
    <col min="3076" max="3327" width="9.140625" style="235"/>
    <col min="3328" max="3329" width="20.7109375" style="235" customWidth="1"/>
    <col min="3330" max="3330" width="73.28515625" style="235" customWidth="1"/>
    <col min="3331" max="3331" width="31.42578125" style="235" customWidth="1"/>
    <col min="3332" max="3583" width="9.140625" style="235"/>
    <col min="3584" max="3585" width="20.7109375" style="235" customWidth="1"/>
    <col min="3586" max="3586" width="73.28515625" style="235" customWidth="1"/>
    <col min="3587" max="3587" width="31.42578125" style="235" customWidth="1"/>
    <col min="3588" max="3839" width="9.140625" style="235"/>
    <col min="3840" max="3841" width="20.7109375" style="235" customWidth="1"/>
    <col min="3842" max="3842" width="73.28515625" style="235" customWidth="1"/>
    <col min="3843" max="3843" width="31.42578125" style="235" customWidth="1"/>
    <col min="3844" max="4095" width="9.140625" style="235"/>
    <col min="4096" max="4097" width="20.7109375" style="235" customWidth="1"/>
    <col min="4098" max="4098" width="73.28515625" style="235" customWidth="1"/>
    <col min="4099" max="4099" width="31.42578125" style="235" customWidth="1"/>
    <col min="4100" max="4351" width="9.140625" style="235"/>
    <col min="4352" max="4353" width="20.7109375" style="235" customWidth="1"/>
    <col min="4354" max="4354" width="73.28515625" style="235" customWidth="1"/>
    <col min="4355" max="4355" width="31.42578125" style="235" customWidth="1"/>
    <col min="4356" max="4607" width="9.140625" style="235"/>
    <col min="4608" max="4609" width="20.7109375" style="235" customWidth="1"/>
    <col min="4610" max="4610" width="73.28515625" style="235" customWidth="1"/>
    <col min="4611" max="4611" width="31.42578125" style="235" customWidth="1"/>
    <col min="4612" max="4863" width="9.140625" style="235"/>
    <col min="4864" max="4865" width="20.7109375" style="235" customWidth="1"/>
    <col min="4866" max="4866" width="73.28515625" style="235" customWidth="1"/>
    <col min="4867" max="4867" width="31.42578125" style="235" customWidth="1"/>
    <col min="4868" max="5119" width="9.140625" style="235"/>
    <col min="5120" max="5121" width="20.7109375" style="235" customWidth="1"/>
    <col min="5122" max="5122" width="73.28515625" style="235" customWidth="1"/>
    <col min="5123" max="5123" width="31.42578125" style="235" customWidth="1"/>
    <col min="5124" max="5375" width="9.140625" style="235"/>
    <col min="5376" max="5377" width="20.7109375" style="235" customWidth="1"/>
    <col min="5378" max="5378" width="73.28515625" style="235" customWidth="1"/>
    <col min="5379" max="5379" width="31.42578125" style="235" customWidth="1"/>
    <col min="5380" max="5631" width="9.140625" style="235"/>
    <col min="5632" max="5633" width="20.7109375" style="235" customWidth="1"/>
    <col min="5634" max="5634" width="73.28515625" style="235" customWidth="1"/>
    <col min="5635" max="5635" width="31.42578125" style="235" customWidth="1"/>
    <col min="5636" max="5887" width="9.140625" style="235"/>
    <col min="5888" max="5889" width="20.7109375" style="235" customWidth="1"/>
    <col min="5890" max="5890" width="73.28515625" style="235" customWidth="1"/>
    <col min="5891" max="5891" width="31.42578125" style="235" customWidth="1"/>
    <col min="5892" max="6143" width="9.140625" style="235"/>
    <col min="6144" max="6145" width="20.7109375" style="235" customWidth="1"/>
    <col min="6146" max="6146" width="73.28515625" style="235" customWidth="1"/>
    <col min="6147" max="6147" width="31.42578125" style="235" customWidth="1"/>
    <col min="6148" max="6399" width="9.140625" style="235"/>
    <col min="6400" max="6401" width="20.7109375" style="235" customWidth="1"/>
    <col min="6402" max="6402" width="73.28515625" style="235" customWidth="1"/>
    <col min="6403" max="6403" width="31.42578125" style="235" customWidth="1"/>
    <col min="6404" max="6655" width="9.140625" style="235"/>
    <col min="6656" max="6657" width="20.7109375" style="235" customWidth="1"/>
    <col min="6658" max="6658" width="73.28515625" style="235" customWidth="1"/>
    <col min="6659" max="6659" width="31.42578125" style="235" customWidth="1"/>
    <col min="6660" max="6911" width="9.140625" style="235"/>
    <col min="6912" max="6913" width="20.7109375" style="235" customWidth="1"/>
    <col min="6914" max="6914" width="73.28515625" style="235" customWidth="1"/>
    <col min="6915" max="6915" width="31.42578125" style="235" customWidth="1"/>
    <col min="6916" max="7167" width="9.140625" style="235"/>
    <col min="7168" max="7169" width="20.7109375" style="235" customWidth="1"/>
    <col min="7170" max="7170" width="73.28515625" style="235" customWidth="1"/>
    <col min="7171" max="7171" width="31.42578125" style="235" customWidth="1"/>
    <col min="7172" max="7423" width="9.140625" style="235"/>
    <col min="7424" max="7425" width="20.7109375" style="235" customWidth="1"/>
    <col min="7426" max="7426" width="73.28515625" style="235" customWidth="1"/>
    <col min="7427" max="7427" width="31.42578125" style="235" customWidth="1"/>
    <col min="7428" max="7679" width="9.140625" style="235"/>
    <col min="7680" max="7681" width="20.7109375" style="235" customWidth="1"/>
    <col min="7682" max="7682" width="73.28515625" style="235" customWidth="1"/>
    <col min="7683" max="7683" width="31.42578125" style="235" customWidth="1"/>
    <col min="7684" max="7935" width="9.140625" style="235"/>
    <col min="7936" max="7937" width="20.7109375" style="235" customWidth="1"/>
    <col min="7938" max="7938" width="73.28515625" style="235" customWidth="1"/>
    <col min="7939" max="7939" width="31.42578125" style="235" customWidth="1"/>
    <col min="7940" max="8191" width="9.140625" style="235"/>
    <col min="8192" max="8193" width="20.7109375" style="235" customWidth="1"/>
    <col min="8194" max="8194" width="73.28515625" style="235" customWidth="1"/>
    <col min="8195" max="8195" width="31.42578125" style="235" customWidth="1"/>
    <col min="8196" max="8447" width="9.140625" style="235"/>
    <col min="8448" max="8449" width="20.7109375" style="235" customWidth="1"/>
    <col min="8450" max="8450" width="73.28515625" style="235" customWidth="1"/>
    <col min="8451" max="8451" width="31.42578125" style="235" customWidth="1"/>
    <col min="8452" max="8703" width="9.140625" style="235"/>
    <col min="8704" max="8705" width="20.7109375" style="235" customWidth="1"/>
    <col min="8706" max="8706" width="73.28515625" style="235" customWidth="1"/>
    <col min="8707" max="8707" width="31.42578125" style="235" customWidth="1"/>
    <col min="8708" max="8959" width="9.140625" style="235"/>
    <col min="8960" max="8961" width="20.7109375" style="235" customWidth="1"/>
    <col min="8962" max="8962" width="73.28515625" style="235" customWidth="1"/>
    <col min="8963" max="8963" width="31.42578125" style="235" customWidth="1"/>
    <col min="8964" max="9215" width="9.140625" style="235"/>
    <col min="9216" max="9217" width="20.7109375" style="235" customWidth="1"/>
    <col min="9218" max="9218" width="73.28515625" style="235" customWidth="1"/>
    <col min="9219" max="9219" width="31.42578125" style="235" customWidth="1"/>
    <col min="9220" max="9471" width="9.140625" style="235"/>
    <col min="9472" max="9473" width="20.7109375" style="235" customWidth="1"/>
    <col min="9474" max="9474" width="73.28515625" style="235" customWidth="1"/>
    <col min="9475" max="9475" width="31.42578125" style="235" customWidth="1"/>
    <col min="9476" max="9727" width="9.140625" style="235"/>
    <col min="9728" max="9729" width="20.7109375" style="235" customWidth="1"/>
    <col min="9730" max="9730" width="73.28515625" style="235" customWidth="1"/>
    <col min="9731" max="9731" width="31.42578125" style="235" customWidth="1"/>
    <col min="9732" max="9983" width="9.140625" style="235"/>
    <col min="9984" max="9985" width="20.7109375" style="235" customWidth="1"/>
    <col min="9986" max="9986" width="73.28515625" style="235" customWidth="1"/>
    <col min="9987" max="9987" width="31.42578125" style="235" customWidth="1"/>
    <col min="9988" max="10239" width="9.140625" style="235"/>
    <col min="10240" max="10241" width="20.7109375" style="235" customWidth="1"/>
    <col min="10242" max="10242" width="73.28515625" style="235" customWidth="1"/>
    <col min="10243" max="10243" width="31.42578125" style="235" customWidth="1"/>
    <col min="10244" max="10495" width="9.140625" style="235"/>
    <col min="10496" max="10497" width="20.7109375" style="235" customWidth="1"/>
    <col min="10498" max="10498" width="73.28515625" style="235" customWidth="1"/>
    <col min="10499" max="10499" width="31.42578125" style="235" customWidth="1"/>
    <col min="10500" max="10751" width="9.140625" style="235"/>
    <col min="10752" max="10753" width="20.7109375" style="235" customWidth="1"/>
    <col min="10754" max="10754" width="73.28515625" style="235" customWidth="1"/>
    <col min="10755" max="10755" width="31.42578125" style="235" customWidth="1"/>
    <col min="10756" max="11007" width="9.140625" style="235"/>
    <col min="11008" max="11009" width="20.7109375" style="235" customWidth="1"/>
    <col min="11010" max="11010" width="73.28515625" style="235" customWidth="1"/>
    <col min="11011" max="11011" width="31.42578125" style="235" customWidth="1"/>
    <col min="11012" max="11263" width="9.140625" style="235"/>
    <col min="11264" max="11265" width="20.7109375" style="235" customWidth="1"/>
    <col min="11266" max="11266" width="73.28515625" style="235" customWidth="1"/>
    <col min="11267" max="11267" width="31.42578125" style="235" customWidth="1"/>
    <col min="11268" max="11519" width="9.140625" style="235"/>
    <col min="11520" max="11521" width="20.7109375" style="235" customWidth="1"/>
    <col min="11522" max="11522" width="73.28515625" style="235" customWidth="1"/>
    <col min="11523" max="11523" width="31.42578125" style="235" customWidth="1"/>
    <col min="11524" max="11775" width="9.140625" style="235"/>
    <col min="11776" max="11777" width="20.7109375" style="235" customWidth="1"/>
    <col min="11778" max="11778" width="73.28515625" style="235" customWidth="1"/>
    <col min="11779" max="11779" width="31.42578125" style="235" customWidth="1"/>
    <col min="11780" max="12031" width="9.140625" style="235"/>
    <col min="12032" max="12033" width="20.7109375" style="235" customWidth="1"/>
    <col min="12034" max="12034" width="73.28515625" style="235" customWidth="1"/>
    <col min="12035" max="12035" width="31.42578125" style="235" customWidth="1"/>
    <col min="12036" max="12287" width="9.140625" style="235"/>
    <col min="12288" max="12289" width="20.7109375" style="235" customWidth="1"/>
    <col min="12290" max="12290" width="73.28515625" style="235" customWidth="1"/>
    <col min="12291" max="12291" width="31.42578125" style="235" customWidth="1"/>
    <col min="12292" max="12543" width="9.140625" style="235"/>
    <col min="12544" max="12545" width="20.7109375" style="235" customWidth="1"/>
    <col min="12546" max="12546" width="73.28515625" style="235" customWidth="1"/>
    <col min="12547" max="12547" width="31.42578125" style="235" customWidth="1"/>
    <col min="12548" max="12799" width="9.140625" style="235"/>
    <col min="12800" max="12801" width="20.7109375" style="235" customWidth="1"/>
    <col min="12802" max="12802" width="73.28515625" style="235" customWidth="1"/>
    <col min="12803" max="12803" width="31.42578125" style="235" customWidth="1"/>
    <col min="12804" max="13055" width="9.140625" style="235"/>
    <col min="13056" max="13057" width="20.7109375" style="235" customWidth="1"/>
    <col min="13058" max="13058" width="73.28515625" style="235" customWidth="1"/>
    <col min="13059" max="13059" width="31.42578125" style="235" customWidth="1"/>
    <col min="13060" max="13311" width="9.140625" style="235"/>
    <col min="13312" max="13313" width="20.7109375" style="235" customWidth="1"/>
    <col min="13314" max="13314" width="73.28515625" style="235" customWidth="1"/>
    <col min="13315" max="13315" width="31.42578125" style="235" customWidth="1"/>
    <col min="13316" max="13567" width="9.140625" style="235"/>
    <col min="13568" max="13569" width="20.7109375" style="235" customWidth="1"/>
    <col min="13570" max="13570" width="73.28515625" style="235" customWidth="1"/>
    <col min="13571" max="13571" width="31.42578125" style="235" customWidth="1"/>
    <col min="13572" max="13823" width="9.140625" style="235"/>
    <col min="13824" max="13825" width="20.7109375" style="235" customWidth="1"/>
    <col min="13826" max="13826" width="73.28515625" style="235" customWidth="1"/>
    <col min="13827" max="13827" width="31.42578125" style="235" customWidth="1"/>
    <col min="13828" max="14079" width="9.140625" style="235"/>
    <col min="14080" max="14081" width="20.7109375" style="235" customWidth="1"/>
    <col min="14082" max="14082" width="73.28515625" style="235" customWidth="1"/>
    <col min="14083" max="14083" width="31.42578125" style="235" customWidth="1"/>
    <col min="14084" max="14335" width="9.140625" style="235"/>
    <col min="14336" max="14337" width="20.7109375" style="235" customWidth="1"/>
    <col min="14338" max="14338" width="73.28515625" style="235" customWidth="1"/>
    <col min="14339" max="14339" width="31.42578125" style="235" customWidth="1"/>
    <col min="14340" max="14591" width="9.140625" style="235"/>
    <col min="14592" max="14593" width="20.7109375" style="235" customWidth="1"/>
    <col min="14594" max="14594" width="73.28515625" style="235" customWidth="1"/>
    <col min="14595" max="14595" width="31.42578125" style="235" customWidth="1"/>
    <col min="14596" max="14847" width="9.140625" style="235"/>
    <col min="14848" max="14849" width="20.7109375" style="235" customWidth="1"/>
    <col min="14850" max="14850" width="73.28515625" style="235" customWidth="1"/>
    <col min="14851" max="14851" width="31.42578125" style="235" customWidth="1"/>
    <col min="14852" max="15103" width="9.140625" style="235"/>
    <col min="15104" max="15105" width="20.7109375" style="235" customWidth="1"/>
    <col min="15106" max="15106" width="73.28515625" style="235" customWidth="1"/>
    <col min="15107" max="15107" width="31.42578125" style="235" customWidth="1"/>
    <col min="15108" max="15359" width="9.140625" style="235"/>
    <col min="15360" max="15361" width="20.7109375" style="235" customWidth="1"/>
    <col min="15362" max="15362" width="73.28515625" style="235" customWidth="1"/>
    <col min="15363" max="15363" width="31.42578125" style="235" customWidth="1"/>
    <col min="15364" max="15615" width="9.140625" style="235"/>
    <col min="15616" max="15617" width="20.7109375" style="235" customWidth="1"/>
    <col min="15618" max="15618" width="73.28515625" style="235" customWidth="1"/>
    <col min="15619" max="15619" width="31.42578125" style="235" customWidth="1"/>
    <col min="15620" max="15871" width="9.140625" style="235"/>
    <col min="15872" max="15873" width="20.7109375" style="235" customWidth="1"/>
    <col min="15874" max="15874" width="73.28515625" style="235" customWidth="1"/>
    <col min="15875" max="15875" width="31.42578125" style="235" customWidth="1"/>
    <col min="15876" max="16127" width="9.140625" style="235"/>
    <col min="16128" max="16129" width="20.7109375" style="235" customWidth="1"/>
    <col min="16130" max="16130" width="73.28515625" style="235" customWidth="1"/>
    <col min="16131" max="16131" width="31.42578125" style="235" customWidth="1"/>
    <col min="16132" max="16384" width="9.140625" style="235"/>
  </cols>
  <sheetData>
    <row r="1" spans="1:3" x14ac:dyDescent="0.25">
      <c r="A1" s="234"/>
      <c r="C1" s="234" t="s">
        <v>496</v>
      </c>
    </row>
    <row r="2" spans="1:3" x14ac:dyDescent="0.25">
      <c r="C2" s="234" t="s">
        <v>766</v>
      </c>
    </row>
    <row r="3" spans="1:3" ht="17.25" customHeight="1" x14ac:dyDescent="0.25">
      <c r="C3" s="234" t="s">
        <v>185</v>
      </c>
    </row>
    <row r="4" spans="1:3" ht="18" customHeight="1" x14ac:dyDescent="0.25">
      <c r="C4" s="234" t="s">
        <v>1103</v>
      </c>
    </row>
    <row r="5" spans="1:3" x14ac:dyDescent="0.25">
      <c r="A5" s="853" t="s">
        <v>767</v>
      </c>
      <c r="B5" s="854"/>
      <c r="C5" s="854"/>
    </row>
    <row r="6" spans="1:3" x14ac:dyDescent="0.25">
      <c r="A6" s="855" t="s">
        <v>1</v>
      </c>
      <c r="B6" s="854"/>
      <c r="C6" s="854"/>
    </row>
    <row r="7" spans="1:3" x14ac:dyDescent="0.25">
      <c r="A7" s="854" t="s">
        <v>2</v>
      </c>
      <c r="B7" s="854"/>
      <c r="C7" s="854"/>
    </row>
    <row r="8" spans="1:3" ht="21.95" customHeight="1" x14ac:dyDescent="0.25">
      <c r="A8" s="237" t="s">
        <v>497</v>
      </c>
    </row>
    <row r="9" spans="1:3" ht="16.5" thickBot="1" x14ac:dyDescent="0.3">
      <c r="C9" s="236" t="s">
        <v>498</v>
      </c>
    </row>
    <row r="10" spans="1:3" ht="47.25" customHeight="1" x14ac:dyDescent="0.25">
      <c r="A10" s="542" t="s">
        <v>499</v>
      </c>
      <c r="B10" s="543" t="s">
        <v>500</v>
      </c>
      <c r="C10" s="544" t="s">
        <v>10</v>
      </c>
    </row>
    <row r="11" spans="1:3" ht="16.5" thickBot="1" x14ac:dyDescent="0.3">
      <c r="A11" s="746">
        <v>1</v>
      </c>
      <c r="B11" s="747">
        <v>2</v>
      </c>
      <c r="C11" s="748">
        <v>3</v>
      </c>
    </row>
    <row r="12" spans="1:3" ht="16.5" thickBot="1" x14ac:dyDescent="0.3">
      <c r="A12" s="751"/>
      <c r="B12" s="752" t="s">
        <v>501</v>
      </c>
      <c r="C12" s="753">
        <f>C13+C15+C17+C19+C23+C25+C27+C29+C107+C21</f>
        <v>65127073</v>
      </c>
    </row>
    <row r="13" spans="1:3" ht="31.5" x14ac:dyDescent="0.25">
      <c r="A13" s="749">
        <v>41032700</v>
      </c>
      <c r="B13" s="63" t="s">
        <v>997</v>
      </c>
      <c r="C13" s="750">
        <f>C14</f>
        <v>895500</v>
      </c>
    </row>
    <row r="14" spans="1:3" x14ac:dyDescent="0.25">
      <c r="A14" s="547" t="s">
        <v>503</v>
      </c>
      <c r="B14" s="541" t="s">
        <v>504</v>
      </c>
      <c r="C14" s="744">
        <v>895500</v>
      </c>
    </row>
    <row r="15" spans="1:3" x14ac:dyDescent="0.25">
      <c r="A15" s="545" t="s">
        <v>329</v>
      </c>
      <c r="B15" s="540" t="s">
        <v>502</v>
      </c>
      <c r="C15" s="546">
        <f>C16</f>
        <v>51554900</v>
      </c>
    </row>
    <row r="16" spans="1:3" x14ac:dyDescent="0.25">
      <c r="A16" s="547" t="s">
        <v>503</v>
      </c>
      <c r="B16" s="541" t="s">
        <v>504</v>
      </c>
      <c r="C16" s="548">
        <f>48655900+2899000</f>
        <v>51554900</v>
      </c>
    </row>
    <row r="17" spans="1:6" ht="51.6" customHeight="1" x14ac:dyDescent="0.25">
      <c r="A17" s="745">
        <v>41035500</v>
      </c>
      <c r="B17" s="68" t="s">
        <v>799</v>
      </c>
      <c r="C17" s="546">
        <f>C18</f>
        <v>1254375</v>
      </c>
    </row>
    <row r="18" spans="1:6" x14ac:dyDescent="0.25">
      <c r="A18" s="547" t="s">
        <v>503</v>
      </c>
      <c r="B18" s="541" t="s">
        <v>504</v>
      </c>
      <c r="C18" s="644">
        <v>1254375</v>
      </c>
    </row>
    <row r="19" spans="1:6" ht="69" customHeight="1" x14ac:dyDescent="0.25">
      <c r="A19" s="545" t="s">
        <v>505</v>
      </c>
      <c r="B19" s="68" t="s">
        <v>334</v>
      </c>
      <c r="C19" s="546">
        <f>C20</f>
        <v>1466400</v>
      </c>
    </row>
    <row r="20" spans="1:6" x14ac:dyDescent="0.25">
      <c r="A20" s="547" t="s">
        <v>506</v>
      </c>
      <c r="B20" s="541" t="s">
        <v>507</v>
      </c>
      <c r="C20" s="548">
        <f>836700+629700</f>
        <v>1466400</v>
      </c>
    </row>
    <row r="21" spans="1:6" ht="84.75" customHeight="1" x14ac:dyDescent="0.25">
      <c r="A21" s="778">
        <v>41050900</v>
      </c>
      <c r="B21" s="68" t="s">
        <v>1059</v>
      </c>
      <c r="C21" s="779">
        <v>1799250</v>
      </c>
    </row>
    <row r="22" spans="1:6" x14ac:dyDescent="0.25">
      <c r="A22" s="547" t="s">
        <v>506</v>
      </c>
      <c r="B22" s="541" t="s">
        <v>507</v>
      </c>
      <c r="C22" s="548">
        <f>C21</f>
        <v>1799250</v>
      </c>
    </row>
    <row r="23" spans="1:6" ht="36.75" customHeight="1" x14ac:dyDescent="0.25">
      <c r="A23" s="545" t="s">
        <v>508</v>
      </c>
      <c r="B23" s="68" t="s">
        <v>337</v>
      </c>
      <c r="C23" s="546">
        <f>C24</f>
        <v>784740</v>
      </c>
    </row>
    <row r="24" spans="1:6" x14ac:dyDescent="0.25">
      <c r="A24" s="547" t="s">
        <v>506</v>
      </c>
      <c r="B24" s="541" t="s">
        <v>507</v>
      </c>
      <c r="C24" s="548">
        <v>784740</v>
      </c>
    </row>
    <row r="25" spans="1:6" ht="52.5" customHeight="1" x14ac:dyDescent="0.25">
      <c r="A25" s="545" t="s">
        <v>509</v>
      </c>
      <c r="B25" s="68" t="s">
        <v>339</v>
      </c>
      <c r="C25" s="546">
        <f>C26</f>
        <v>619585</v>
      </c>
    </row>
    <row r="26" spans="1:6" x14ac:dyDescent="0.25">
      <c r="A26" s="547" t="s">
        <v>506</v>
      </c>
      <c r="B26" s="541" t="s">
        <v>507</v>
      </c>
      <c r="C26" s="548">
        <v>619585</v>
      </c>
    </row>
    <row r="27" spans="1:6" ht="47.25" x14ac:dyDescent="0.25">
      <c r="A27" s="545">
        <v>41051400</v>
      </c>
      <c r="B27" s="694" t="s">
        <v>340</v>
      </c>
      <c r="C27" s="546">
        <f>C28</f>
        <v>666841</v>
      </c>
    </row>
    <row r="28" spans="1:6" x14ac:dyDescent="0.25">
      <c r="A28" s="547" t="s">
        <v>506</v>
      </c>
      <c r="B28" s="541" t="s">
        <v>507</v>
      </c>
      <c r="C28" s="548">
        <v>666841</v>
      </c>
    </row>
    <row r="29" spans="1:6" x14ac:dyDescent="0.25">
      <c r="A29" s="545" t="s">
        <v>510</v>
      </c>
      <c r="B29" s="540" t="s">
        <v>342</v>
      </c>
      <c r="C29" s="546">
        <f>C30+C31+C50+C70+C47+C86+C100</f>
        <v>5158782</v>
      </c>
      <c r="D29" s="429">
        <f>C29-'[1]Дод 1'!D93</f>
        <v>2303482</v>
      </c>
    </row>
    <row r="30" spans="1:6" x14ac:dyDescent="0.25">
      <c r="A30" s="549">
        <v>11314200000</v>
      </c>
      <c r="B30" s="541" t="s">
        <v>648</v>
      </c>
      <c r="C30" s="550"/>
    </row>
    <row r="31" spans="1:6" x14ac:dyDescent="0.25">
      <c r="A31" s="545" t="s">
        <v>644</v>
      </c>
      <c r="B31" s="675" t="s">
        <v>634</v>
      </c>
      <c r="C31" s="546">
        <f>C35+C33+C32</f>
        <v>1331459</v>
      </c>
    </row>
    <row r="32" spans="1:6" ht="31.5" x14ac:dyDescent="0.25">
      <c r="A32" s="698" t="s">
        <v>667</v>
      </c>
      <c r="B32" s="605" t="s">
        <v>682</v>
      </c>
      <c r="C32" s="608">
        <v>44143</v>
      </c>
      <c r="F32" s="699"/>
    </row>
    <row r="33" spans="1:3" ht="31.5" x14ac:dyDescent="0.25">
      <c r="A33" s="698" t="s">
        <v>667</v>
      </c>
      <c r="B33" s="605" t="s">
        <v>739</v>
      </c>
      <c r="C33" s="551">
        <f>C34</f>
        <v>200000</v>
      </c>
    </row>
    <row r="34" spans="1:3" x14ac:dyDescent="0.25">
      <c r="A34" s="606"/>
      <c r="B34" s="607" t="s">
        <v>668</v>
      </c>
      <c r="C34" s="551">
        <f>200000</f>
        <v>200000</v>
      </c>
    </row>
    <row r="35" spans="1:3" ht="31.5" x14ac:dyDescent="0.25">
      <c r="A35" s="698" t="s">
        <v>667</v>
      </c>
      <c r="B35" s="605" t="s">
        <v>741</v>
      </c>
      <c r="C35" s="608">
        <f>C36+C37+C38+C39+C40+C41+C43+C44+C45+C46</f>
        <v>1087316</v>
      </c>
    </row>
    <row r="36" spans="1:3" x14ac:dyDescent="0.25">
      <c r="A36" s="606"/>
      <c r="B36" s="607" t="s">
        <v>668</v>
      </c>
      <c r="C36" s="608">
        <f>96563+15000</f>
        <v>111563</v>
      </c>
    </row>
    <row r="37" spans="1:3" ht="31.5" x14ac:dyDescent="0.25">
      <c r="A37" s="606"/>
      <c r="B37" s="605" t="s">
        <v>670</v>
      </c>
      <c r="C37" s="608">
        <f>840410+10980+18300</f>
        <v>869690</v>
      </c>
    </row>
    <row r="38" spans="1:3" x14ac:dyDescent="0.25">
      <c r="A38" s="606"/>
      <c r="B38" s="607" t="s">
        <v>674</v>
      </c>
      <c r="C38" s="608">
        <v>5000</v>
      </c>
    </row>
    <row r="39" spans="1:3" x14ac:dyDescent="0.25">
      <c r="A39" s="606"/>
      <c r="B39" s="605" t="s">
        <v>675</v>
      </c>
      <c r="C39" s="608">
        <v>20000</v>
      </c>
    </row>
    <row r="40" spans="1:3" ht="31.5" x14ac:dyDescent="0.25">
      <c r="A40" s="606"/>
      <c r="B40" s="605" t="s">
        <v>792</v>
      </c>
      <c r="C40" s="608">
        <f>12000+6036</f>
        <v>18036</v>
      </c>
    </row>
    <row r="41" spans="1:3" ht="31.5" x14ac:dyDescent="0.25">
      <c r="A41" s="606"/>
      <c r="B41" s="605" t="s">
        <v>677</v>
      </c>
      <c r="C41" s="608">
        <v>1800</v>
      </c>
    </row>
    <row r="42" spans="1:3" hidden="1" x14ac:dyDescent="0.25">
      <c r="A42" s="606"/>
      <c r="B42" s="607"/>
      <c r="C42" s="608"/>
    </row>
    <row r="43" spans="1:3" ht="31.5" x14ac:dyDescent="0.25">
      <c r="A43" s="606"/>
      <c r="B43" s="605" t="s">
        <v>672</v>
      </c>
      <c r="C43" s="608">
        <v>2000</v>
      </c>
    </row>
    <row r="44" spans="1:3" x14ac:dyDescent="0.25">
      <c r="A44" s="606"/>
      <c r="B44" s="607" t="s">
        <v>678</v>
      </c>
      <c r="C44" s="608">
        <v>15000</v>
      </c>
    </row>
    <row r="45" spans="1:3" x14ac:dyDescent="0.25">
      <c r="A45" s="606"/>
      <c r="B45" s="607" t="s">
        <v>679</v>
      </c>
      <c r="C45" s="608">
        <v>5000</v>
      </c>
    </row>
    <row r="46" spans="1:3" x14ac:dyDescent="0.25">
      <c r="A46" s="606"/>
      <c r="B46" s="607" t="s">
        <v>680</v>
      </c>
      <c r="C46" s="608">
        <f>7527+31700</f>
        <v>39227</v>
      </c>
    </row>
    <row r="47" spans="1:3" x14ac:dyDescent="0.25">
      <c r="A47" s="609" t="s">
        <v>645</v>
      </c>
      <c r="B47" s="610" t="s">
        <v>718</v>
      </c>
      <c r="C47" s="611">
        <f>C48</f>
        <v>200000</v>
      </c>
    </row>
    <row r="48" spans="1:3" ht="31.5" x14ac:dyDescent="0.25">
      <c r="A48" s="698" t="s">
        <v>667</v>
      </c>
      <c r="B48" s="605" t="s">
        <v>739</v>
      </c>
      <c r="C48" s="608">
        <f>C49</f>
        <v>200000</v>
      </c>
    </row>
    <row r="49" spans="1:3" x14ac:dyDescent="0.25">
      <c r="A49" s="606"/>
      <c r="B49" s="607" t="s">
        <v>669</v>
      </c>
      <c r="C49" s="608">
        <v>200000</v>
      </c>
    </row>
    <row r="50" spans="1:3" x14ac:dyDescent="0.25">
      <c r="A50" s="552" t="s">
        <v>511</v>
      </c>
      <c r="B50" s="610" t="s">
        <v>512</v>
      </c>
      <c r="C50" s="612">
        <f>C51+C54+C56</f>
        <v>662605</v>
      </c>
    </row>
    <row r="51" spans="1:3" ht="31.5" x14ac:dyDescent="0.25">
      <c r="A51" s="698" t="s">
        <v>667</v>
      </c>
      <c r="B51" s="605" t="s">
        <v>682</v>
      </c>
      <c r="C51" s="551">
        <v>30000</v>
      </c>
    </row>
    <row r="52" spans="1:3" hidden="1" x14ac:dyDescent="0.25">
      <c r="A52" s="613"/>
      <c r="B52" s="607"/>
      <c r="C52" s="551"/>
    </row>
    <row r="53" spans="1:3" hidden="1" x14ac:dyDescent="0.25">
      <c r="A53" s="698"/>
      <c r="B53" s="607"/>
      <c r="C53" s="551"/>
    </row>
    <row r="54" spans="1:3" ht="31.5" x14ac:dyDescent="0.25">
      <c r="A54" s="698" t="s">
        <v>667</v>
      </c>
      <c r="B54" s="605" t="s">
        <v>739</v>
      </c>
      <c r="C54" s="551">
        <f>C55</f>
        <v>240000</v>
      </c>
    </row>
    <row r="55" spans="1:3" x14ac:dyDescent="0.25">
      <c r="A55" s="698"/>
      <c r="B55" s="607" t="s">
        <v>668</v>
      </c>
      <c r="C55" s="551">
        <f>200000+40000</f>
        <v>240000</v>
      </c>
    </row>
    <row r="56" spans="1:3" ht="31.5" x14ac:dyDescent="0.25">
      <c r="A56" s="698" t="s">
        <v>667</v>
      </c>
      <c r="B56" s="605" t="s">
        <v>741</v>
      </c>
      <c r="C56" s="551">
        <f>SUM(C57:C67)</f>
        <v>392605</v>
      </c>
    </row>
    <row r="57" spans="1:3" x14ac:dyDescent="0.25">
      <c r="A57" s="698"/>
      <c r="B57" s="607" t="s">
        <v>668</v>
      </c>
      <c r="C57" s="551">
        <v>9050</v>
      </c>
    </row>
    <row r="58" spans="1:3" ht="40.5" customHeight="1" x14ac:dyDescent="0.25">
      <c r="A58" s="698"/>
      <c r="B58" s="605" t="s">
        <v>670</v>
      </c>
      <c r="C58" s="551">
        <f>189950+68000+50000</f>
        <v>307950</v>
      </c>
    </row>
    <row r="59" spans="1:3" x14ac:dyDescent="0.25">
      <c r="A59" s="698"/>
      <c r="B59" s="607" t="s">
        <v>673</v>
      </c>
      <c r="C59" s="551">
        <v>1000</v>
      </c>
    </row>
    <row r="60" spans="1:3" x14ac:dyDescent="0.25">
      <c r="A60" s="698"/>
      <c r="B60" s="607" t="s">
        <v>674</v>
      </c>
      <c r="C60" s="551">
        <v>5000</v>
      </c>
    </row>
    <row r="61" spans="1:3" x14ac:dyDescent="0.25">
      <c r="A61" s="698"/>
      <c r="B61" s="605" t="s">
        <v>675</v>
      </c>
      <c r="C61" s="551">
        <v>5000</v>
      </c>
    </row>
    <row r="62" spans="1:3" ht="31.5" x14ac:dyDescent="0.25">
      <c r="A62" s="698"/>
      <c r="B62" s="605" t="s">
        <v>676</v>
      </c>
      <c r="C62" s="551">
        <f>3000+3000</f>
        <v>6000</v>
      </c>
    </row>
    <row r="63" spans="1:3" ht="31.5" x14ac:dyDescent="0.25">
      <c r="A63" s="698"/>
      <c r="B63" s="605" t="s">
        <v>677</v>
      </c>
      <c r="C63" s="551">
        <v>1000</v>
      </c>
    </row>
    <row r="64" spans="1:3" ht="31.5" x14ac:dyDescent="0.25">
      <c r="A64" s="698"/>
      <c r="B64" s="605" t="s">
        <v>672</v>
      </c>
      <c r="C64" s="551">
        <v>1000</v>
      </c>
    </row>
    <row r="65" spans="1:6" x14ac:dyDescent="0.25">
      <c r="A65" s="698"/>
      <c r="B65" s="607" t="s">
        <v>746</v>
      </c>
      <c r="C65" s="551">
        <v>1200</v>
      </c>
    </row>
    <row r="66" spans="1:6" ht="47.25" x14ac:dyDescent="0.25">
      <c r="A66" s="698"/>
      <c r="B66" s="605" t="s">
        <v>747</v>
      </c>
      <c r="C66" s="551">
        <v>5405</v>
      </c>
    </row>
    <row r="67" spans="1:6" x14ac:dyDescent="0.25">
      <c r="A67" s="698"/>
      <c r="B67" s="607" t="s">
        <v>854</v>
      </c>
      <c r="C67" s="551">
        <v>50000</v>
      </c>
    </row>
    <row r="68" spans="1:6" hidden="1" x14ac:dyDescent="0.25">
      <c r="A68" s="698"/>
      <c r="B68" s="607"/>
      <c r="C68" s="551"/>
    </row>
    <row r="69" spans="1:6" hidden="1" x14ac:dyDescent="0.25">
      <c r="A69" s="698"/>
      <c r="B69" s="607"/>
      <c r="C69" s="551"/>
    </row>
    <row r="70" spans="1:6" x14ac:dyDescent="0.25">
      <c r="A70" s="552" t="s">
        <v>513</v>
      </c>
      <c r="B70" s="610" t="s">
        <v>514</v>
      </c>
      <c r="C70" s="612">
        <f>C71+C72+C73+C75</f>
        <v>1751018</v>
      </c>
      <c r="D70" s="518"/>
    </row>
    <row r="71" spans="1:6" ht="27.6" customHeight="1" x14ac:dyDescent="0.25">
      <c r="A71" s="698" t="s">
        <v>667</v>
      </c>
      <c r="B71" s="605" t="s">
        <v>682</v>
      </c>
      <c r="C71" s="551">
        <v>84600</v>
      </c>
      <c r="D71" s="519"/>
    </row>
    <row r="72" spans="1:6" ht="31.5" x14ac:dyDescent="0.25">
      <c r="A72" s="698"/>
      <c r="B72" s="605" t="s">
        <v>681</v>
      </c>
      <c r="C72" s="551">
        <v>244500</v>
      </c>
      <c r="D72" s="519"/>
    </row>
    <row r="73" spans="1:6" ht="31.5" x14ac:dyDescent="0.25">
      <c r="A73" s="698" t="s">
        <v>667</v>
      </c>
      <c r="B73" s="605" t="s">
        <v>739</v>
      </c>
      <c r="C73" s="551">
        <f>C74</f>
        <v>200000</v>
      </c>
    </row>
    <row r="74" spans="1:6" x14ac:dyDescent="0.25">
      <c r="A74" s="698"/>
      <c r="B74" s="607" t="s">
        <v>668</v>
      </c>
      <c r="C74" s="551">
        <f>600000-400000</f>
        <v>200000</v>
      </c>
    </row>
    <row r="75" spans="1:6" ht="31.5" x14ac:dyDescent="0.25">
      <c r="A75" s="698" t="s">
        <v>667</v>
      </c>
      <c r="B75" s="605" t="s">
        <v>741</v>
      </c>
      <c r="C75" s="551">
        <f>C76+C77+C78+C79+C80+C81+C82+C85+C83+C84</f>
        <v>1221918</v>
      </c>
      <c r="F75" s="235">
        <v>1301485</v>
      </c>
    </row>
    <row r="76" spans="1:6" x14ac:dyDescent="0.25">
      <c r="A76" s="698"/>
      <c r="B76" s="607" t="s">
        <v>668</v>
      </c>
      <c r="C76" s="551">
        <f>260000+20000+150000+42000</f>
        <v>472000</v>
      </c>
      <c r="F76" s="429">
        <f>410000-C76</f>
        <v>-62000</v>
      </c>
    </row>
    <row r="77" spans="1:6" ht="31.5" x14ac:dyDescent="0.25">
      <c r="A77" s="698"/>
      <c r="B77" s="605" t="s">
        <v>670</v>
      </c>
      <c r="C77" s="551">
        <f>330000+80000+200000</f>
        <v>610000</v>
      </c>
      <c r="F77" s="429">
        <f>530000-C77</f>
        <v>-80000</v>
      </c>
    </row>
    <row r="78" spans="1:6" ht="31.5" x14ac:dyDescent="0.25">
      <c r="A78" s="698"/>
      <c r="B78" s="605" t="s">
        <v>676</v>
      </c>
      <c r="C78" s="551">
        <f>15000+20433</f>
        <v>35433</v>
      </c>
      <c r="F78" s="429">
        <f>60000-C78</f>
        <v>24567</v>
      </c>
    </row>
    <row r="79" spans="1:6" ht="31.5" x14ac:dyDescent="0.25">
      <c r="A79" s="698"/>
      <c r="B79" s="605" t="s">
        <v>672</v>
      </c>
      <c r="C79" s="551">
        <v>3000</v>
      </c>
      <c r="F79" s="235">
        <f>1050000+120433+6485</f>
        <v>1176918</v>
      </c>
    </row>
    <row r="80" spans="1:6" x14ac:dyDescent="0.25">
      <c r="A80" s="698"/>
      <c r="B80" s="607" t="s">
        <v>674</v>
      </c>
      <c r="C80" s="551">
        <v>7000</v>
      </c>
      <c r="F80" s="429">
        <f>C75-F79</f>
        <v>45000</v>
      </c>
    </row>
    <row r="81" spans="1:5" x14ac:dyDescent="0.25">
      <c r="A81" s="698"/>
      <c r="B81" s="605" t="s">
        <v>675</v>
      </c>
      <c r="C81" s="551">
        <v>30000</v>
      </c>
    </row>
    <row r="82" spans="1:5" ht="31.5" x14ac:dyDescent="0.25">
      <c r="A82" s="698"/>
      <c r="B82" s="605" t="s">
        <v>677</v>
      </c>
      <c r="C82" s="551">
        <v>5000</v>
      </c>
    </row>
    <row r="83" spans="1:5" ht="47.25" x14ac:dyDescent="0.25">
      <c r="A83" s="704"/>
      <c r="B83" s="605" t="s">
        <v>747</v>
      </c>
      <c r="C83" s="551">
        <v>6485</v>
      </c>
    </row>
    <row r="84" spans="1:5" x14ac:dyDescent="0.25">
      <c r="A84" s="710"/>
      <c r="B84" s="607" t="s">
        <v>673</v>
      </c>
      <c r="C84" s="551">
        <v>3000</v>
      </c>
    </row>
    <row r="85" spans="1:5" x14ac:dyDescent="0.25">
      <c r="A85" s="698"/>
      <c r="B85" s="607" t="s">
        <v>854</v>
      </c>
      <c r="C85" s="551">
        <v>50000</v>
      </c>
    </row>
    <row r="86" spans="1:5" x14ac:dyDescent="0.25">
      <c r="A86" s="552">
        <v>11505000000</v>
      </c>
      <c r="B86" s="610" t="s">
        <v>719</v>
      </c>
      <c r="C86" s="612">
        <f>C88+C87</f>
        <v>193700</v>
      </c>
    </row>
    <row r="87" spans="1:5" ht="31.5" x14ac:dyDescent="0.25">
      <c r="A87" s="698" t="s">
        <v>667</v>
      </c>
      <c r="B87" s="605" t="s">
        <v>682</v>
      </c>
      <c r="C87" s="551">
        <v>6700</v>
      </c>
      <c r="E87" s="429">
        <f>C87+C71+C51+C32</f>
        <v>165443</v>
      </c>
    </row>
    <row r="88" spans="1:5" ht="31.5" x14ac:dyDescent="0.25">
      <c r="A88" s="698" t="s">
        <v>667</v>
      </c>
      <c r="B88" s="605" t="s">
        <v>741</v>
      </c>
      <c r="C88" s="608">
        <f>C89+C90+C91+C92+C93+C94+C96+C97+C98+C99</f>
        <v>187000</v>
      </c>
      <c r="E88" s="429">
        <f>C88+C35+C56+C75</f>
        <v>2888839</v>
      </c>
    </row>
    <row r="89" spans="1:5" x14ac:dyDescent="0.25">
      <c r="A89" s="698"/>
      <c r="B89" s="607" t="s">
        <v>668</v>
      </c>
      <c r="C89" s="608">
        <v>5344</v>
      </c>
      <c r="E89" s="429">
        <f>C73+C54+C48+C33</f>
        <v>840000</v>
      </c>
    </row>
    <row r="90" spans="1:5" ht="31.5" x14ac:dyDescent="0.25">
      <c r="A90" s="698"/>
      <c r="B90" s="605" t="s">
        <v>726</v>
      </c>
      <c r="C90" s="608">
        <v>158750</v>
      </c>
      <c r="E90" s="429">
        <f>C72</f>
        <v>244500</v>
      </c>
    </row>
    <row r="91" spans="1:5" x14ac:dyDescent="0.25">
      <c r="A91" s="698"/>
      <c r="B91" s="607" t="s">
        <v>674</v>
      </c>
      <c r="C91" s="608">
        <v>500</v>
      </c>
    </row>
    <row r="92" spans="1:5" x14ac:dyDescent="0.25">
      <c r="A92" s="698"/>
      <c r="B92" s="605" t="s">
        <v>675</v>
      </c>
      <c r="C92" s="608">
        <v>1000</v>
      </c>
    </row>
    <row r="93" spans="1:5" ht="31.5" x14ac:dyDescent="0.25">
      <c r="A93" s="698"/>
      <c r="B93" s="605" t="s">
        <v>676</v>
      </c>
      <c r="C93" s="608">
        <v>9600</v>
      </c>
    </row>
    <row r="94" spans="1:5" ht="31.5" x14ac:dyDescent="0.25">
      <c r="A94" s="698"/>
      <c r="B94" s="605" t="s">
        <v>677</v>
      </c>
      <c r="C94" s="608">
        <v>9600</v>
      </c>
    </row>
    <row r="95" spans="1:5" hidden="1" x14ac:dyDescent="0.25">
      <c r="A95" s="698"/>
      <c r="B95" s="607"/>
      <c r="C95" s="608"/>
    </row>
    <row r="96" spans="1:5" ht="31.5" hidden="1" x14ac:dyDescent="0.25">
      <c r="A96" s="698"/>
      <c r="B96" s="605" t="s">
        <v>672</v>
      </c>
      <c r="C96" s="608"/>
    </row>
    <row r="97" spans="1:3" x14ac:dyDescent="0.25">
      <c r="A97" s="698"/>
      <c r="B97" s="607" t="s">
        <v>678</v>
      </c>
      <c r="C97" s="608">
        <v>1500</v>
      </c>
    </row>
    <row r="98" spans="1:3" x14ac:dyDescent="0.25">
      <c r="A98" s="698"/>
      <c r="B98" s="607" t="s">
        <v>679</v>
      </c>
      <c r="C98" s="608">
        <v>200</v>
      </c>
    </row>
    <row r="99" spans="1:3" x14ac:dyDescent="0.25">
      <c r="A99" s="698"/>
      <c r="B99" s="607" t="s">
        <v>680</v>
      </c>
      <c r="C99" s="608">
        <v>506</v>
      </c>
    </row>
    <row r="100" spans="1:3" x14ac:dyDescent="0.25">
      <c r="A100" s="609">
        <v>11314200000</v>
      </c>
      <c r="B100" s="610" t="s">
        <v>648</v>
      </c>
      <c r="C100" s="611">
        <f>C101+C102</f>
        <v>1020000</v>
      </c>
    </row>
    <row r="101" spans="1:3" ht="31.5" x14ac:dyDescent="0.25">
      <c r="A101" s="698" t="s">
        <v>667</v>
      </c>
      <c r="B101" s="605" t="s">
        <v>748</v>
      </c>
      <c r="C101" s="551">
        <v>20000</v>
      </c>
    </row>
    <row r="102" spans="1:3" ht="31.5" x14ac:dyDescent="0.25">
      <c r="A102" s="698"/>
      <c r="B102" s="605" t="s">
        <v>739</v>
      </c>
      <c r="C102" s="551">
        <f>C103+C104+C105+C106</f>
        <v>1000000</v>
      </c>
    </row>
    <row r="103" spans="1:3" x14ac:dyDescent="0.25">
      <c r="A103" s="698"/>
      <c r="B103" s="605" t="s">
        <v>784</v>
      </c>
      <c r="C103" s="551">
        <f>750000-102980-24636</f>
        <v>622384</v>
      </c>
    </row>
    <row r="104" spans="1:3" x14ac:dyDescent="0.25">
      <c r="A104" s="698"/>
      <c r="B104" s="605" t="s">
        <v>785</v>
      </c>
      <c r="C104" s="551">
        <f>250000</f>
        <v>250000</v>
      </c>
    </row>
    <row r="105" spans="1:3" ht="31.5" x14ac:dyDescent="0.25">
      <c r="A105" s="710"/>
      <c r="B105" s="605" t="s">
        <v>970</v>
      </c>
      <c r="C105" s="551">
        <v>102980</v>
      </c>
    </row>
    <row r="106" spans="1:3" x14ac:dyDescent="0.25">
      <c r="A106" s="710"/>
      <c r="B106" s="605" t="s">
        <v>973</v>
      </c>
      <c r="C106" s="551">
        <v>24636</v>
      </c>
    </row>
    <row r="107" spans="1:3" ht="53.25" customHeight="1" x14ac:dyDescent="0.25">
      <c r="A107" s="609" t="s">
        <v>515</v>
      </c>
      <c r="B107" s="614" t="s">
        <v>516</v>
      </c>
      <c r="C107" s="611">
        <f>C108</f>
        <v>926700</v>
      </c>
    </row>
    <row r="108" spans="1:3" x14ac:dyDescent="0.25">
      <c r="A108" s="698" t="s">
        <v>506</v>
      </c>
      <c r="B108" s="607" t="s">
        <v>507</v>
      </c>
      <c r="C108" s="551">
        <f>617800+308900</f>
        <v>926700</v>
      </c>
    </row>
    <row r="109" spans="1:3" x14ac:dyDescent="0.25">
      <c r="A109" s="754"/>
      <c r="B109" s="754" t="s">
        <v>517</v>
      </c>
      <c r="C109" s="755">
        <f>C118</f>
        <v>1259179</v>
      </c>
    </row>
    <row r="110" spans="1:3" hidden="1" x14ac:dyDescent="0.25">
      <c r="A110" s="609" t="s">
        <v>329</v>
      </c>
      <c r="B110" s="615" t="s">
        <v>502</v>
      </c>
      <c r="C110" s="611">
        <v>0</v>
      </c>
    </row>
    <row r="111" spans="1:3" hidden="1" x14ac:dyDescent="0.25">
      <c r="A111" s="698" t="s">
        <v>503</v>
      </c>
      <c r="B111" s="616" t="s">
        <v>504</v>
      </c>
      <c r="C111" s="551">
        <v>0</v>
      </c>
    </row>
    <row r="112" spans="1:3" ht="47.25" hidden="1" x14ac:dyDescent="0.25">
      <c r="A112" s="609" t="s">
        <v>505</v>
      </c>
      <c r="B112" s="615" t="s">
        <v>334</v>
      </c>
      <c r="C112" s="611">
        <v>0</v>
      </c>
    </row>
    <row r="113" spans="1:3" hidden="1" x14ac:dyDescent="0.25">
      <c r="A113" s="698" t="s">
        <v>506</v>
      </c>
      <c r="B113" s="616" t="s">
        <v>507</v>
      </c>
      <c r="C113" s="551">
        <v>0</v>
      </c>
    </row>
    <row r="114" spans="1:3" ht="31.5" hidden="1" x14ac:dyDescent="0.25">
      <c r="A114" s="609" t="s">
        <v>508</v>
      </c>
      <c r="B114" s="615" t="s">
        <v>337</v>
      </c>
      <c r="C114" s="611">
        <v>0</v>
      </c>
    </row>
    <row r="115" spans="1:3" hidden="1" x14ac:dyDescent="0.25">
      <c r="A115" s="698" t="s">
        <v>506</v>
      </c>
      <c r="B115" s="616" t="s">
        <v>507</v>
      </c>
      <c r="C115" s="551">
        <v>0</v>
      </c>
    </row>
    <row r="116" spans="1:3" ht="47.25" hidden="1" x14ac:dyDescent="0.25">
      <c r="A116" s="609" t="s">
        <v>509</v>
      </c>
      <c r="B116" s="615" t="s">
        <v>339</v>
      </c>
      <c r="C116" s="611">
        <v>0</v>
      </c>
    </row>
    <row r="117" spans="1:3" hidden="1" x14ac:dyDescent="0.25">
      <c r="A117" s="698" t="s">
        <v>506</v>
      </c>
      <c r="B117" s="616" t="s">
        <v>507</v>
      </c>
      <c r="C117" s="551">
        <v>0</v>
      </c>
    </row>
    <row r="118" spans="1:3" x14ac:dyDescent="0.25">
      <c r="A118" s="609" t="s">
        <v>510</v>
      </c>
      <c r="B118" s="615" t="s">
        <v>342</v>
      </c>
      <c r="C118" s="611">
        <f>C119</f>
        <v>1259179</v>
      </c>
    </row>
    <row r="119" spans="1:3" x14ac:dyDescent="0.25">
      <c r="A119" s="606">
        <v>11314200000</v>
      </c>
      <c r="B119" s="607" t="s">
        <v>648</v>
      </c>
      <c r="C119" s="608">
        <v>1259179</v>
      </c>
    </row>
    <row r="120" spans="1:3" ht="31.5" x14ac:dyDescent="0.25">
      <c r="A120" s="698" t="s">
        <v>666</v>
      </c>
      <c r="B120" s="605" t="s">
        <v>739</v>
      </c>
      <c r="C120" s="608">
        <v>1259179</v>
      </c>
    </row>
    <row r="121" spans="1:3" ht="35.450000000000003" customHeight="1" x14ac:dyDescent="0.25">
      <c r="A121" s="698" t="s">
        <v>666</v>
      </c>
      <c r="B121" s="605" t="s">
        <v>740</v>
      </c>
      <c r="C121" s="608">
        <v>1259179</v>
      </c>
    </row>
    <row r="122" spans="1:3" ht="47.25" hidden="1" x14ac:dyDescent="0.25">
      <c r="A122" s="609" t="s">
        <v>515</v>
      </c>
      <c r="B122" s="615" t="s">
        <v>516</v>
      </c>
      <c r="C122" s="611">
        <v>0</v>
      </c>
    </row>
    <row r="123" spans="1:3" hidden="1" x14ac:dyDescent="0.25">
      <c r="A123" s="698" t="s">
        <v>506</v>
      </c>
      <c r="B123" s="616" t="s">
        <v>507</v>
      </c>
      <c r="C123" s="551">
        <v>0</v>
      </c>
    </row>
    <row r="124" spans="1:3" x14ac:dyDescent="0.25">
      <c r="A124" s="617" t="s">
        <v>183</v>
      </c>
      <c r="B124" s="618" t="s">
        <v>518</v>
      </c>
      <c r="C124" s="619">
        <f>C125+C126</f>
        <v>64587002</v>
      </c>
    </row>
    <row r="125" spans="1:3" x14ac:dyDescent="0.25">
      <c r="A125" s="617" t="s">
        <v>183</v>
      </c>
      <c r="B125" s="618" t="s">
        <v>493</v>
      </c>
      <c r="C125" s="619">
        <f>C15+C19+C23+C25+C29+C107+C17+C27+C13</f>
        <v>63327823</v>
      </c>
    </row>
    <row r="126" spans="1:3" ht="16.5" thickBot="1" x14ac:dyDescent="0.3">
      <c r="A126" s="620" t="s">
        <v>183</v>
      </c>
      <c r="B126" s="621" t="s">
        <v>494</v>
      </c>
      <c r="C126" s="622">
        <f>C118</f>
        <v>1259179</v>
      </c>
    </row>
    <row r="127" spans="1:3" x14ac:dyDescent="0.25">
      <c r="A127" s="623"/>
      <c r="B127" s="623"/>
      <c r="C127" s="623"/>
    </row>
    <row r="128" spans="1:3" ht="21.95" customHeight="1" thickBot="1" x14ac:dyDescent="0.3">
      <c r="A128" s="645" t="s">
        <v>519</v>
      </c>
      <c r="B128" s="623"/>
      <c r="C128" s="624" t="s">
        <v>498</v>
      </c>
    </row>
    <row r="129" spans="1:3" ht="94.5" x14ac:dyDescent="0.25">
      <c r="A129" s="625" t="s">
        <v>520</v>
      </c>
      <c r="B129" s="626" t="s">
        <v>521</v>
      </c>
      <c r="C129" s="627" t="s">
        <v>10</v>
      </c>
    </row>
    <row r="130" spans="1:3" ht="16.5" thickBot="1" x14ac:dyDescent="0.3">
      <c r="A130" s="628">
        <v>1</v>
      </c>
      <c r="B130" s="629">
        <v>2</v>
      </c>
      <c r="C130" s="630">
        <v>4</v>
      </c>
    </row>
    <row r="131" spans="1:3" ht="16.5" thickBot="1" x14ac:dyDescent="0.3">
      <c r="A131" s="751"/>
      <c r="B131" s="752" t="s">
        <v>501</v>
      </c>
      <c r="C131" s="753">
        <f>C132</f>
        <v>50000</v>
      </c>
    </row>
    <row r="132" spans="1:3" x14ac:dyDescent="0.25">
      <c r="A132" s="552" t="s">
        <v>713</v>
      </c>
      <c r="B132" s="646">
        <v>9800</v>
      </c>
      <c r="C132" s="697">
        <f>C133+C134+C135</f>
        <v>50000</v>
      </c>
    </row>
    <row r="133" spans="1:3" ht="51.75" x14ac:dyDescent="0.25">
      <c r="A133" s="552"/>
      <c r="B133" s="631" t="s">
        <v>975</v>
      </c>
      <c r="C133" s="709">
        <v>10000</v>
      </c>
    </row>
    <row r="134" spans="1:3" ht="64.5" x14ac:dyDescent="0.25">
      <c r="A134" s="552"/>
      <c r="B134" s="631" t="s">
        <v>974</v>
      </c>
      <c r="C134" s="709">
        <v>10000</v>
      </c>
    </row>
    <row r="135" spans="1:3" ht="64.5" x14ac:dyDescent="0.25">
      <c r="A135" s="552"/>
      <c r="B135" s="631" t="s">
        <v>976</v>
      </c>
      <c r="C135" s="709">
        <v>30000</v>
      </c>
    </row>
    <row r="136" spans="1:3" ht="20.100000000000001" customHeight="1" x14ac:dyDescent="0.25">
      <c r="A136" s="754"/>
      <c r="B136" s="754" t="s">
        <v>517</v>
      </c>
      <c r="C136" s="755">
        <f>C137+C142</f>
        <v>870000</v>
      </c>
    </row>
    <row r="137" spans="1:3" ht="20.100000000000001" customHeight="1" x14ac:dyDescent="0.25">
      <c r="A137" s="552" t="s">
        <v>714</v>
      </c>
      <c r="B137" s="646">
        <v>9770</v>
      </c>
      <c r="C137" s="647">
        <f>C139+C140</f>
        <v>670000</v>
      </c>
    </row>
    <row r="138" spans="1:3" ht="20.100000000000001" customHeight="1" x14ac:dyDescent="0.25">
      <c r="A138" s="552" t="s">
        <v>506</v>
      </c>
      <c r="B138" s="610" t="s">
        <v>507</v>
      </c>
      <c r="C138" s="647">
        <f>C139</f>
        <v>620000</v>
      </c>
    </row>
    <row r="139" spans="1:3" ht="39" x14ac:dyDescent="0.25">
      <c r="A139" s="698"/>
      <c r="B139" s="631" t="s">
        <v>730</v>
      </c>
      <c r="C139" s="697">
        <f>600000+20000</f>
        <v>620000</v>
      </c>
    </row>
    <row r="140" spans="1:3" x14ac:dyDescent="0.25">
      <c r="A140" s="552">
        <v>11517000000</v>
      </c>
      <c r="B140" s="610" t="s">
        <v>764</v>
      </c>
      <c r="C140" s="697">
        <v>50000</v>
      </c>
    </row>
    <row r="141" spans="1:3" ht="51.75" x14ac:dyDescent="0.25">
      <c r="A141" s="698"/>
      <c r="B141" s="631" t="s">
        <v>765</v>
      </c>
      <c r="C141" s="697">
        <v>50000</v>
      </c>
    </row>
    <row r="142" spans="1:3" ht="20.100000000000001" customHeight="1" x14ac:dyDescent="0.25">
      <c r="A142" s="552" t="s">
        <v>713</v>
      </c>
      <c r="B142" s="646">
        <v>9800</v>
      </c>
      <c r="C142" s="647">
        <f>C143+C144</f>
        <v>200000</v>
      </c>
    </row>
    <row r="143" spans="1:3" ht="51.75" x14ac:dyDescent="0.25">
      <c r="A143" s="698"/>
      <c r="B143" s="631" t="s">
        <v>731</v>
      </c>
      <c r="C143" s="632">
        <v>100000</v>
      </c>
    </row>
    <row r="144" spans="1:3" ht="78" customHeight="1" thickBot="1" x14ac:dyDescent="0.3">
      <c r="A144" s="698"/>
      <c r="B144" s="631" t="s">
        <v>732</v>
      </c>
      <c r="C144" s="632">
        <v>100000</v>
      </c>
    </row>
    <row r="145" spans="1:8" hidden="1" x14ac:dyDescent="0.25">
      <c r="A145" s="633" t="s">
        <v>183</v>
      </c>
      <c r="B145" s="634" t="s">
        <v>183</v>
      </c>
      <c r="C145" s="619"/>
    </row>
    <row r="146" spans="1:8" hidden="1" x14ac:dyDescent="0.25">
      <c r="A146" s="633" t="s">
        <v>183</v>
      </c>
      <c r="B146" s="634" t="s">
        <v>183</v>
      </c>
      <c r="C146" s="619"/>
    </row>
    <row r="147" spans="1:8" hidden="1" x14ac:dyDescent="0.25">
      <c r="A147" s="763" t="s">
        <v>183</v>
      </c>
      <c r="B147" s="764" t="s">
        <v>183</v>
      </c>
      <c r="C147" s="765"/>
    </row>
    <row r="148" spans="1:8" ht="16.5" thickBot="1" x14ac:dyDescent="0.3">
      <c r="A148" s="766" t="s">
        <v>183</v>
      </c>
      <c r="B148" s="767" t="s">
        <v>518</v>
      </c>
      <c r="C148" s="768">
        <f>C149+C150</f>
        <v>920000</v>
      </c>
    </row>
    <row r="149" spans="1:8" ht="16.5" thickBot="1" x14ac:dyDescent="0.3">
      <c r="A149" s="766" t="s">
        <v>183</v>
      </c>
      <c r="B149" s="767" t="s">
        <v>493</v>
      </c>
      <c r="C149" s="768">
        <f>C132</f>
        <v>50000</v>
      </c>
    </row>
    <row r="150" spans="1:8" ht="16.5" thickBot="1" x14ac:dyDescent="0.3">
      <c r="A150" s="766" t="s">
        <v>183</v>
      </c>
      <c r="B150" s="767" t="s">
        <v>494</v>
      </c>
      <c r="C150" s="768">
        <f>C142+C137</f>
        <v>870000</v>
      </c>
      <c r="F150" s="235" t="s">
        <v>858</v>
      </c>
      <c r="G150" s="235" t="s">
        <v>859</v>
      </c>
    </row>
    <row r="151" spans="1:8" x14ac:dyDescent="0.25">
      <c r="A151" s="760"/>
      <c r="B151" s="762"/>
      <c r="C151" s="761"/>
    </row>
    <row r="152" spans="1:8" x14ac:dyDescent="0.25">
      <c r="A152" s="760"/>
      <c r="B152" s="762"/>
      <c r="C152" s="761"/>
    </row>
    <row r="153" spans="1:8" x14ac:dyDescent="0.25">
      <c r="A153" s="771" t="s">
        <v>1104</v>
      </c>
      <c r="B153" s="770"/>
      <c r="C153" s="761" t="s">
        <v>663</v>
      </c>
    </row>
    <row r="154" spans="1:8" hidden="1" x14ac:dyDescent="0.25">
      <c r="A154" s="760"/>
      <c r="B154" s="762"/>
      <c r="C154" s="761"/>
    </row>
    <row r="155" spans="1:8" ht="31.5" hidden="1" x14ac:dyDescent="0.25">
      <c r="B155" s="605" t="s">
        <v>739</v>
      </c>
      <c r="C155" s="769">
        <f>C33+C54+C73+C48+C102</f>
        <v>1840000</v>
      </c>
      <c r="F155" s="429">
        <f>C107</f>
        <v>926700</v>
      </c>
      <c r="G155" s="429">
        <f>C118</f>
        <v>1259179</v>
      </c>
      <c r="H155" s="429">
        <f>C155+F155+G155</f>
        <v>4025879</v>
      </c>
    </row>
    <row r="156" spans="1:8" ht="31.5" hidden="1" x14ac:dyDescent="0.25">
      <c r="B156" s="605" t="s">
        <v>741</v>
      </c>
      <c r="C156" s="769">
        <f>C35+C56+C75+C88</f>
        <v>2888839</v>
      </c>
    </row>
    <row r="157" spans="1:8" hidden="1" x14ac:dyDescent="0.25">
      <c r="B157" s="700" t="s">
        <v>295</v>
      </c>
      <c r="C157" s="769">
        <f>C155+C156</f>
        <v>4728839</v>
      </c>
    </row>
    <row r="158" spans="1:8" ht="31.5" hidden="1" x14ac:dyDescent="0.25">
      <c r="B158" s="605" t="s">
        <v>682</v>
      </c>
      <c r="C158" s="769">
        <f>C32+C51+C71+C87</f>
        <v>165443</v>
      </c>
    </row>
    <row r="159" spans="1:8" ht="31.5" hidden="1" x14ac:dyDescent="0.25">
      <c r="B159" s="605" t="s">
        <v>681</v>
      </c>
      <c r="C159" s="769">
        <f>C72</f>
        <v>244500</v>
      </c>
    </row>
    <row r="160" spans="1:8" ht="31.5" hidden="1" x14ac:dyDescent="0.25">
      <c r="B160" s="605" t="s">
        <v>748</v>
      </c>
      <c r="C160" s="769">
        <f>C101</f>
        <v>20000</v>
      </c>
    </row>
    <row r="161" spans="2:3" hidden="1" x14ac:dyDescent="0.25">
      <c r="B161" s="700" t="s">
        <v>295</v>
      </c>
      <c r="C161" s="769">
        <f>C158+C159+C160</f>
        <v>429943</v>
      </c>
    </row>
    <row r="162" spans="2:3" hidden="1" x14ac:dyDescent="0.25"/>
    <row r="163" spans="2:3" hidden="1" x14ac:dyDescent="0.25"/>
  </sheetData>
  <mergeCells count="3">
    <mergeCell ref="A5:C5"/>
    <mergeCell ref="A6:C6"/>
    <mergeCell ref="A7:C7"/>
  </mergeCells>
  <pageMargins left="1.1811023622047245" right="0.39370078740157483" top="0.78740157480314965" bottom="0.78740157480314965" header="0.31496062992125984" footer="0.31496062992125984"/>
  <pageSetup paperSize="9" scale="71" fitToHeight="5" orientation="portrait" horizontalDpi="360" verticalDpi="360"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141"/>
  <sheetViews>
    <sheetView showZeros="0" zoomScale="50" zoomScaleNormal="50" zoomScaleSheetLayoutView="50" workbookViewId="0">
      <pane xSplit="3" ySplit="9" topLeftCell="D17" activePane="bottomRight" state="frozen"/>
      <selection pane="topRight" activeCell="E1" sqref="E1"/>
      <selection pane="bottomLeft" activeCell="A14" sqref="A14"/>
      <selection pane="bottomRight" activeCell="I6" sqref="I6"/>
    </sheetView>
  </sheetViews>
  <sheetFormatPr defaultRowHeight="12.75" x14ac:dyDescent="0.2"/>
  <cols>
    <col min="1" max="1" width="13.85546875" style="238" customWidth="1"/>
    <col min="2" max="2" width="14.140625" style="239" customWidth="1"/>
    <col min="3" max="3" width="13.42578125" style="240" customWidth="1"/>
    <col min="4" max="4" width="60.85546875" style="241" customWidth="1"/>
    <col min="5" max="5" width="72.28515625" style="241" customWidth="1"/>
    <col min="6" max="6" width="23.5703125" style="242" customWidth="1"/>
    <col min="7" max="8" width="23.42578125" style="242" customWidth="1"/>
    <col min="9" max="9" width="25.140625" style="242" customWidth="1"/>
    <col min="10" max="10" width="22.42578125" style="242" hidden="1" customWidth="1"/>
    <col min="11" max="11" width="21.28515625" style="242" hidden="1" customWidth="1"/>
    <col min="12" max="12" width="25.7109375" style="242" hidden="1" customWidth="1"/>
    <col min="13" max="13" width="19.85546875" style="243" hidden="1" customWidth="1"/>
    <col min="14" max="14" width="30.5703125" style="243" customWidth="1"/>
    <col min="15" max="15" width="38.85546875" style="238" hidden="1" customWidth="1"/>
    <col min="16" max="256" width="9.140625" style="238"/>
    <col min="257" max="257" width="13.85546875" style="238" customWidth="1"/>
    <col min="258" max="258" width="14.140625" style="238" customWidth="1"/>
    <col min="259" max="259" width="13.42578125" style="238" customWidth="1"/>
    <col min="260" max="260" width="60.85546875" style="238" customWidth="1"/>
    <col min="261" max="261" width="72.28515625" style="238" customWidth="1"/>
    <col min="262" max="262" width="23.5703125" style="238" customWidth="1"/>
    <col min="263" max="264" width="23.42578125" style="238" customWidth="1"/>
    <col min="265" max="265" width="25.140625" style="238" customWidth="1"/>
    <col min="266" max="269" width="0" style="238" hidden="1" customWidth="1"/>
    <col min="270" max="270" width="30.5703125" style="238" customWidth="1"/>
    <col min="271" max="271" width="0" style="238" hidden="1" customWidth="1"/>
    <col min="272" max="512" width="9.140625" style="238"/>
    <col min="513" max="513" width="13.85546875" style="238" customWidth="1"/>
    <col min="514" max="514" width="14.140625" style="238" customWidth="1"/>
    <col min="515" max="515" width="13.42578125" style="238" customWidth="1"/>
    <col min="516" max="516" width="60.85546875" style="238" customWidth="1"/>
    <col min="517" max="517" width="72.28515625" style="238" customWidth="1"/>
    <col min="518" max="518" width="23.5703125" style="238" customWidth="1"/>
    <col min="519" max="520" width="23.42578125" style="238" customWidth="1"/>
    <col min="521" max="521" width="25.140625" style="238" customWidth="1"/>
    <col min="522" max="525" width="0" style="238" hidden="1" customWidth="1"/>
    <col min="526" max="526" width="30.5703125" style="238" customWidth="1"/>
    <col min="527" max="527" width="0" style="238" hidden="1" customWidth="1"/>
    <col min="528" max="768" width="9.140625" style="238"/>
    <col min="769" max="769" width="13.85546875" style="238" customWidth="1"/>
    <col min="770" max="770" width="14.140625" style="238" customWidth="1"/>
    <col min="771" max="771" width="13.42578125" style="238" customWidth="1"/>
    <col min="772" max="772" width="60.85546875" style="238" customWidth="1"/>
    <col min="773" max="773" width="72.28515625" style="238" customWidth="1"/>
    <col min="774" max="774" width="23.5703125" style="238" customWidth="1"/>
    <col min="775" max="776" width="23.42578125" style="238" customWidth="1"/>
    <col min="777" max="777" width="25.140625" style="238" customWidth="1"/>
    <col min="778" max="781" width="0" style="238" hidden="1" customWidth="1"/>
    <col min="782" max="782" width="30.5703125" style="238" customWidth="1"/>
    <col min="783" max="783" width="0" style="238" hidden="1" customWidth="1"/>
    <col min="784" max="1024" width="9.140625" style="238"/>
    <col min="1025" max="1025" width="13.85546875" style="238" customWidth="1"/>
    <col min="1026" max="1026" width="14.140625" style="238" customWidth="1"/>
    <col min="1027" max="1027" width="13.42578125" style="238" customWidth="1"/>
    <col min="1028" max="1028" width="60.85546875" style="238" customWidth="1"/>
    <col min="1029" max="1029" width="72.28515625" style="238" customWidth="1"/>
    <col min="1030" max="1030" width="23.5703125" style="238" customWidth="1"/>
    <col min="1031" max="1032" width="23.42578125" style="238" customWidth="1"/>
    <col min="1033" max="1033" width="25.140625" style="238" customWidth="1"/>
    <col min="1034" max="1037" width="0" style="238" hidden="1" customWidth="1"/>
    <col min="1038" max="1038" width="30.5703125" style="238" customWidth="1"/>
    <col min="1039" max="1039" width="0" style="238" hidden="1" customWidth="1"/>
    <col min="1040" max="1280" width="9.140625" style="238"/>
    <col min="1281" max="1281" width="13.85546875" style="238" customWidth="1"/>
    <col min="1282" max="1282" width="14.140625" style="238" customWidth="1"/>
    <col min="1283" max="1283" width="13.42578125" style="238" customWidth="1"/>
    <col min="1284" max="1284" width="60.85546875" style="238" customWidth="1"/>
    <col min="1285" max="1285" width="72.28515625" style="238" customWidth="1"/>
    <col min="1286" max="1286" width="23.5703125" style="238" customWidth="1"/>
    <col min="1287" max="1288" width="23.42578125" style="238" customWidth="1"/>
    <col min="1289" max="1289" width="25.140625" style="238" customWidth="1"/>
    <col min="1290" max="1293" width="0" style="238" hidden="1" customWidth="1"/>
    <col min="1294" max="1294" width="30.5703125" style="238" customWidth="1"/>
    <col min="1295" max="1295" width="0" style="238" hidden="1" customWidth="1"/>
    <col min="1296" max="1536" width="9.140625" style="238"/>
    <col min="1537" max="1537" width="13.85546875" style="238" customWidth="1"/>
    <col min="1538" max="1538" width="14.140625" style="238" customWidth="1"/>
    <col min="1539" max="1539" width="13.42578125" style="238" customWidth="1"/>
    <col min="1540" max="1540" width="60.85546875" style="238" customWidth="1"/>
    <col min="1541" max="1541" width="72.28515625" style="238" customWidth="1"/>
    <col min="1542" max="1542" width="23.5703125" style="238" customWidth="1"/>
    <col min="1543" max="1544" width="23.42578125" style="238" customWidth="1"/>
    <col min="1545" max="1545" width="25.140625" style="238" customWidth="1"/>
    <col min="1546" max="1549" width="0" style="238" hidden="1" customWidth="1"/>
    <col min="1550" max="1550" width="30.5703125" style="238" customWidth="1"/>
    <col min="1551" max="1551" width="0" style="238" hidden="1" customWidth="1"/>
    <col min="1552" max="1792" width="9.140625" style="238"/>
    <col min="1793" max="1793" width="13.85546875" style="238" customWidth="1"/>
    <col min="1794" max="1794" width="14.140625" style="238" customWidth="1"/>
    <col min="1795" max="1795" width="13.42578125" style="238" customWidth="1"/>
    <col min="1796" max="1796" width="60.85546875" style="238" customWidth="1"/>
    <col min="1797" max="1797" width="72.28515625" style="238" customWidth="1"/>
    <col min="1798" max="1798" width="23.5703125" style="238" customWidth="1"/>
    <col min="1799" max="1800" width="23.42578125" style="238" customWidth="1"/>
    <col min="1801" max="1801" width="25.140625" style="238" customWidth="1"/>
    <col min="1802" max="1805" width="0" style="238" hidden="1" customWidth="1"/>
    <col min="1806" max="1806" width="30.5703125" style="238" customWidth="1"/>
    <col min="1807" max="1807" width="0" style="238" hidden="1" customWidth="1"/>
    <col min="1808" max="2048" width="9.140625" style="238"/>
    <col min="2049" max="2049" width="13.85546875" style="238" customWidth="1"/>
    <col min="2050" max="2050" width="14.140625" style="238" customWidth="1"/>
    <col min="2051" max="2051" width="13.42578125" style="238" customWidth="1"/>
    <col min="2052" max="2052" width="60.85546875" style="238" customWidth="1"/>
    <col min="2053" max="2053" width="72.28515625" style="238" customWidth="1"/>
    <col min="2054" max="2054" width="23.5703125" style="238" customWidth="1"/>
    <col min="2055" max="2056" width="23.42578125" style="238" customWidth="1"/>
    <col min="2057" max="2057" width="25.140625" style="238" customWidth="1"/>
    <col min="2058" max="2061" width="0" style="238" hidden="1" customWidth="1"/>
    <col min="2062" max="2062" width="30.5703125" style="238" customWidth="1"/>
    <col min="2063" max="2063" width="0" style="238" hidden="1" customWidth="1"/>
    <col min="2064" max="2304" width="9.140625" style="238"/>
    <col min="2305" max="2305" width="13.85546875" style="238" customWidth="1"/>
    <col min="2306" max="2306" width="14.140625" style="238" customWidth="1"/>
    <col min="2307" max="2307" width="13.42578125" style="238" customWidth="1"/>
    <col min="2308" max="2308" width="60.85546875" style="238" customWidth="1"/>
    <col min="2309" max="2309" width="72.28515625" style="238" customWidth="1"/>
    <col min="2310" max="2310" width="23.5703125" style="238" customWidth="1"/>
    <col min="2311" max="2312" width="23.42578125" style="238" customWidth="1"/>
    <col min="2313" max="2313" width="25.140625" style="238" customWidth="1"/>
    <col min="2314" max="2317" width="0" style="238" hidden="1" customWidth="1"/>
    <col min="2318" max="2318" width="30.5703125" style="238" customWidth="1"/>
    <col min="2319" max="2319" width="0" style="238" hidden="1" customWidth="1"/>
    <col min="2320" max="2560" width="9.140625" style="238"/>
    <col min="2561" max="2561" width="13.85546875" style="238" customWidth="1"/>
    <col min="2562" max="2562" width="14.140625" style="238" customWidth="1"/>
    <col min="2563" max="2563" width="13.42578125" style="238" customWidth="1"/>
    <col min="2564" max="2564" width="60.85546875" style="238" customWidth="1"/>
    <col min="2565" max="2565" width="72.28515625" style="238" customWidth="1"/>
    <col min="2566" max="2566" width="23.5703125" style="238" customWidth="1"/>
    <col min="2567" max="2568" width="23.42578125" style="238" customWidth="1"/>
    <col min="2569" max="2569" width="25.140625" style="238" customWidth="1"/>
    <col min="2570" max="2573" width="0" style="238" hidden="1" customWidth="1"/>
    <col min="2574" max="2574" width="30.5703125" style="238" customWidth="1"/>
    <col min="2575" max="2575" width="0" style="238" hidden="1" customWidth="1"/>
    <col min="2576" max="2816" width="9.140625" style="238"/>
    <col min="2817" max="2817" width="13.85546875" style="238" customWidth="1"/>
    <col min="2818" max="2818" width="14.140625" style="238" customWidth="1"/>
    <col min="2819" max="2819" width="13.42578125" style="238" customWidth="1"/>
    <col min="2820" max="2820" width="60.85546875" style="238" customWidth="1"/>
    <col min="2821" max="2821" width="72.28515625" style="238" customWidth="1"/>
    <col min="2822" max="2822" width="23.5703125" style="238" customWidth="1"/>
    <col min="2823" max="2824" width="23.42578125" style="238" customWidth="1"/>
    <col min="2825" max="2825" width="25.140625" style="238" customWidth="1"/>
    <col min="2826" max="2829" width="0" style="238" hidden="1" customWidth="1"/>
    <col min="2830" max="2830" width="30.5703125" style="238" customWidth="1"/>
    <col min="2831" max="2831" width="0" style="238" hidden="1" customWidth="1"/>
    <col min="2832" max="3072" width="9.140625" style="238"/>
    <col min="3073" max="3073" width="13.85546875" style="238" customWidth="1"/>
    <col min="3074" max="3074" width="14.140625" style="238" customWidth="1"/>
    <col min="3075" max="3075" width="13.42578125" style="238" customWidth="1"/>
    <col min="3076" max="3076" width="60.85546875" style="238" customWidth="1"/>
    <col min="3077" max="3077" width="72.28515625" style="238" customWidth="1"/>
    <col min="3078" max="3078" width="23.5703125" style="238" customWidth="1"/>
    <col min="3079" max="3080" width="23.42578125" style="238" customWidth="1"/>
    <col min="3081" max="3081" width="25.140625" style="238" customWidth="1"/>
    <col min="3082" max="3085" width="0" style="238" hidden="1" customWidth="1"/>
    <col min="3086" max="3086" width="30.5703125" style="238" customWidth="1"/>
    <col min="3087" max="3087" width="0" style="238" hidden="1" customWidth="1"/>
    <col min="3088" max="3328" width="9.140625" style="238"/>
    <col min="3329" max="3329" width="13.85546875" style="238" customWidth="1"/>
    <col min="3330" max="3330" width="14.140625" style="238" customWidth="1"/>
    <col min="3331" max="3331" width="13.42578125" style="238" customWidth="1"/>
    <col min="3332" max="3332" width="60.85546875" style="238" customWidth="1"/>
    <col min="3333" max="3333" width="72.28515625" style="238" customWidth="1"/>
    <col min="3334" max="3334" width="23.5703125" style="238" customWidth="1"/>
    <col min="3335" max="3336" width="23.42578125" style="238" customWidth="1"/>
    <col min="3337" max="3337" width="25.140625" style="238" customWidth="1"/>
    <col min="3338" max="3341" width="0" style="238" hidden="1" customWidth="1"/>
    <col min="3342" max="3342" width="30.5703125" style="238" customWidth="1"/>
    <col min="3343" max="3343" width="0" style="238" hidden="1" customWidth="1"/>
    <col min="3344" max="3584" width="9.140625" style="238"/>
    <col min="3585" max="3585" width="13.85546875" style="238" customWidth="1"/>
    <col min="3586" max="3586" width="14.140625" style="238" customWidth="1"/>
    <col min="3587" max="3587" width="13.42578125" style="238" customWidth="1"/>
    <col min="3588" max="3588" width="60.85546875" style="238" customWidth="1"/>
    <col min="3589" max="3589" width="72.28515625" style="238" customWidth="1"/>
    <col min="3590" max="3590" width="23.5703125" style="238" customWidth="1"/>
    <col min="3591" max="3592" width="23.42578125" style="238" customWidth="1"/>
    <col min="3593" max="3593" width="25.140625" style="238" customWidth="1"/>
    <col min="3594" max="3597" width="0" style="238" hidden="1" customWidth="1"/>
    <col min="3598" max="3598" width="30.5703125" style="238" customWidth="1"/>
    <col min="3599" max="3599" width="0" style="238" hidden="1" customWidth="1"/>
    <col min="3600" max="3840" width="9.140625" style="238"/>
    <col min="3841" max="3841" width="13.85546875" style="238" customWidth="1"/>
    <col min="3842" max="3842" width="14.140625" style="238" customWidth="1"/>
    <col min="3843" max="3843" width="13.42578125" style="238" customWidth="1"/>
    <col min="3844" max="3844" width="60.85546875" style="238" customWidth="1"/>
    <col min="3845" max="3845" width="72.28515625" style="238" customWidth="1"/>
    <col min="3846" max="3846" width="23.5703125" style="238" customWidth="1"/>
    <col min="3847" max="3848" width="23.42578125" style="238" customWidth="1"/>
    <col min="3849" max="3849" width="25.140625" style="238" customWidth="1"/>
    <col min="3850" max="3853" width="0" style="238" hidden="1" customWidth="1"/>
    <col min="3854" max="3854" width="30.5703125" style="238" customWidth="1"/>
    <col min="3855" max="3855" width="0" style="238" hidden="1" customWidth="1"/>
    <col min="3856" max="4096" width="9.140625" style="238"/>
    <col min="4097" max="4097" width="13.85546875" style="238" customWidth="1"/>
    <col min="4098" max="4098" width="14.140625" style="238" customWidth="1"/>
    <col min="4099" max="4099" width="13.42578125" style="238" customWidth="1"/>
    <col min="4100" max="4100" width="60.85546875" style="238" customWidth="1"/>
    <col min="4101" max="4101" width="72.28515625" style="238" customWidth="1"/>
    <col min="4102" max="4102" width="23.5703125" style="238" customWidth="1"/>
    <col min="4103" max="4104" width="23.42578125" style="238" customWidth="1"/>
    <col min="4105" max="4105" width="25.140625" style="238" customWidth="1"/>
    <col min="4106" max="4109" width="0" style="238" hidden="1" customWidth="1"/>
    <col min="4110" max="4110" width="30.5703125" style="238" customWidth="1"/>
    <col min="4111" max="4111" width="0" style="238" hidden="1" customWidth="1"/>
    <col min="4112" max="4352" width="9.140625" style="238"/>
    <col min="4353" max="4353" width="13.85546875" style="238" customWidth="1"/>
    <col min="4354" max="4354" width="14.140625" style="238" customWidth="1"/>
    <col min="4355" max="4355" width="13.42578125" style="238" customWidth="1"/>
    <col min="4356" max="4356" width="60.85546875" style="238" customWidth="1"/>
    <col min="4357" max="4357" width="72.28515625" style="238" customWidth="1"/>
    <col min="4358" max="4358" width="23.5703125" style="238" customWidth="1"/>
    <col min="4359" max="4360" width="23.42578125" style="238" customWidth="1"/>
    <col min="4361" max="4361" width="25.140625" style="238" customWidth="1"/>
    <col min="4362" max="4365" width="0" style="238" hidden="1" customWidth="1"/>
    <col min="4366" max="4366" width="30.5703125" style="238" customWidth="1"/>
    <col min="4367" max="4367" width="0" style="238" hidden="1" customWidth="1"/>
    <col min="4368" max="4608" width="9.140625" style="238"/>
    <col min="4609" max="4609" width="13.85546875" style="238" customWidth="1"/>
    <col min="4610" max="4610" width="14.140625" style="238" customWidth="1"/>
    <col min="4611" max="4611" width="13.42578125" style="238" customWidth="1"/>
    <col min="4612" max="4612" width="60.85546875" style="238" customWidth="1"/>
    <col min="4613" max="4613" width="72.28515625" style="238" customWidth="1"/>
    <col min="4614" max="4614" width="23.5703125" style="238" customWidth="1"/>
    <col min="4615" max="4616" width="23.42578125" style="238" customWidth="1"/>
    <col min="4617" max="4617" width="25.140625" style="238" customWidth="1"/>
    <col min="4618" max="4621" width="0" style="238" hidden="1" customWidth="1"/>
    <col min="4622" max="4622" width="30.5703125" style="238" customWidth="1"/>
    <col min="4623" max="4623" width="0" style="238" hidden="1" customWidth="1"/>
    <col min="4624" max="4864" width="9.140625" style="238"/>
    <col min="4865" max="4865" width="13.85546875" style="238" customWidth="1"/>
    <col min="4866" max="4866" width="14.140625" style="238" customWidth="1"/>
    <col min="4867" max="4867" width="13.42578125" style="238" customWidth="1"/>
    <col min="4868" max="4868" width="60.85546875" style="238" customWidth="1"/>
    <col min="4869" max="4869" width="72.28515625" style="238" customWidth="1"/>
    <col min="4870" max="4870" width="23.5703125" style="238" customWidth="1"/>
    <col min="4871" max="4872" width="23.42578125" style="238" customWidth="1"/>
    <col min="4873" max="4873" width="25.140625" style="238" customWidth="1"/>
    <col min="4874" max="4877" width="0" style="238" hidden="1" customWidth="1"/>
    <col min="4878" max="4878" width="30.5703125" style="238" customWidth="1"/>
    <col min="4879" max="4879" width="0" style="238" hidden="1" customWidth="1"/>
    <col min="4880" max="5120" width="9.140625" style="238"/>
    <col min="5121" max="5121" width="13.85546875" style="238" customWidth="1"/>
    <col min="5122" max="5122" width="14.140625" style="238" customWidth="1"/>
    <col min="5123" max="5123" width="13.42578125" style="238" customWidth="1"/>
    <col min="5124" max="5124" width="60.85546875" style="238" customWidth="1"/>
    <col min="5125" max="5125" width="72.28515625" style="238" customWidth="1"/>
    <col min="5126" max="5126" width="23.5703125" style="238" customWidth="1"/>
    <col min="5127" max="5128" width="23.42578125" style="238" customWidth="1"/>
    <col min="5129" max="5129" width="25.140625" style="238" customWidth="1"/>
    <col min="5130" max="5133" width="0" style="238" hidden="1" customWidth="1"/>
    <col min="5134" max="5134" width="30.5703125" style="238" customWidth="1"/>
    <col min="5135" max="5135" width="0" style="238" hidden="1" customWidth="1"/>
    <col min="5136" max="5376" width="9.140625" style="238"/>
    <col min="5377" max="5377" width="13.85546875" style="238" customWidth="1"/>
    <col min="5378" max="5378" width="14.140625" style="238" customWidth="1"/>
    <col min="5379" max="5379" width="13.42578125" style="238" customWidth="1"/>
    <col min="5380" max="5380" width="60.85546875" style="238" customWidth="1"/>
    <col min="5381" max="5381" width="72.28515625" style="238" customWidth="1"/>
    <col min="5382" max="5382" width="23.5703125" style="238" customWidth="1"/>
    <col min="5383" max="5384" width="23.42578125" style="238" customWidth="1"/>
    <col min="5385" max="5385" width="25.140625" style="238" customWidth="1"/>
    <col min="5386" max="5389" width="0" style="238" hidden="1" customWidth="1"/>
    <col min="5390" max="5390" width="30.5703125" style="238" customWidth="1"/>
    <col min="5391" max="5391" width="0" style="238" hidden="1" customWidth="1"/>
    <col min="5392" max="5632" width="9.140625" style="238"/>
    <col min="5633" max="5633" width="13.85546875" style="238" customWidth="1"/>
    <col min="5634" max="5634" width="14.140625" style="238" customWidth="1"/>
    <col min="5635" max="5635" width="13.42578125" style="238" customWidth="1"/>
    <col min="5636" max="5636" width="60.85546875" style="238" customWidth="1"/>
    <col min="5637" max="5637" width="72.28515625" style="238" customWidth="1"/>
    <col min="5638" max="5638" width="23.5703125" style="238" customWidth="1"/>
    <col min="5639" max="5640" width="23.42578125" style="238" customWidth="1"/>
    <col min="5641" max="5641" width="25.140625" style="238" customWidth="1"/>
    <col min="5642" max="5645" width="0" style="238" hidden="1" customWidth="1"/>
    <col min="5646" max="5646" width="30.5703125" style="238" customWidth="1"/>
    <col min="5647" max="5647" width="0" style="238" hidden="1" customWidth="1"/>
    <col min="5648" max="5888" width="9.140625" style="238"/>
    <col min="5889" max="5889" width="13.85546875" style="238" customWidth="1"/>
    <col min="5890" max="5890" width="14.140625" style="238" customWidth="1"/>
    <col min="5891" max="5891" width="13.42578125" style="238" customWidth="1"/>
    <col min="5892" max="5892" width="60.85546875" style="238" customWidth="1"/>
    <col min="5893" max="5893" width="72.28515625" style="238" customWidth="1"/>
    <col min="5894" max="5894" width="23.5703125" style="238" customWidth="1"/>
    <col min="5895" max="5896" width="23.42578125" style="238" customWidth="1"/>
    <col min="5897" max="5897" width="25.140625" style="238" customWidth="1"/>
    <col min="5898" max="5901" width="0" style="238" hidden="1" customWidth="1"/>
    <col min="5902" max="5902" width="30.5703125" style="238" customWidth="1"/>
    <col min="5903" max="5903" width="0" style="238" hidden="1" customWidth="1"/>
    <col min="5904" max="6144" width="9.140625" style="238"/>
    <col min="6145" max="6145" width="13.85546875" style="238" customWidth="1"/>
    <col min="6146" max="6146" width="14.140625" style="238" customWidth="1"/>
    <col min="6147" max="6147" width="13.42578125" style="238" customWidth="1"/>
    <col min="6148" max="6148" width="60.85546875" style="238" customWidth="1"/>
    <col min="6149" max="6149" width="72.28515625" style="238" customWidth="1"/>
    <col min="6150" max="6150" width="23.5703125" style="238" customWidth="1"/>
    <col min="6151" max="6152" width="23.42578125" style="238" customWidth="1"/>
    <col min="6153" max="6153" width="25.140625" style="238" customWidth="1"/>
    <col min="6154" max="6157" width="0" style="238" hidden="1" customWidth="1"/>
    <col min="6158" max="6158" width="30.5703125" style="238" customWidth="1"/>
    <col min="6159" max="6159" width="0" style="238" hidden="1" customWidth="1"/>
    <col min="6160" max="6400" width="9.140625" style="238"/>
    <col min="6401" max="6401" width="13.85546875" style="238" customWidth="1"/>
    <col min="6402" max="6402" width="14.140625" style="238" customWidth="1"/>
    <col min="6403" max="6403" width="13.42578125" style="238" customWidth="1"/>
    <col min="6404" max="6404" width="60.85546875" style="238" customWidth="1"/>
    <col min="6405" max="6405" width="72.28515625" style="238" customWidth="1"/>
    <col min="6406" max="6406" width="23.5703125" style="238" customWidth="1"/>
    <col min="6407" max="6408" width="23.42578125" style="238" customWidth="1"/>
    <col min="6409" max="6409" width="25.140625" style="238" customWidth="1"/>
    <col min="6410" max="6413" width="0" style="238" hidden="1" customWidth="1"/>
    <col min="6414" max="6414" width="30.5703125" style="238" customWidth="1"/>
    <col min="6415" max="6415" width="0" style="238" hidden="1" customWidth="1"/>
    <col min="6416" max="6656" width="9.140625" style="238"/>
    <col min="6657" max="6657" width="13.85546875" style="238" customWidth="1"/>
    <col min="6658" max="6658" width="14.140625" style="238" customWidth="1"/>
    <col min="6659" max="6659" width="13.42578125" style="238" customWidth="1"/>
    <col min="6660" max="6660" width="60.85546875" style="238" customWidth="1"/>
    <col min="6661" max="6661" width="72.28515625" style="238" customWidth="1"/>
    <col min="6662" max="6662" width="23.5703125" style="238" customWidth="1"/>
    <col min="6663" max="6664" width="23.42578125" style="238" customWidth="1"/>
    <col min="6665" max="6665" width="25.140625" style="238" customWidth="1"/>
    <col min="6666" max="6669" width="0" style="238" hidden="1" customWidth="1"/>
    <col min="6670" max="6670" width="30.5703125" style="238" customWidth="1"/>
    <col min="6671" max="6671" width="0" style="238" hidden="1" customWidth="1"/>
    <col min="6672" max="6912" width="9.140625" style="238"/>
    <col min="6913" max="6913" width="13.85546875" style="238" customWidth="1"/>
    <col min="6914" max="6914" width="14.140625" style="238" customWidth="1"/>
    <col min="6915" max="6915" width="13.42578125" style="238" customWidth="1"/>
    <col min="6916" max="6916" width="60.85546875" style="238" customWidth="1"/>
    <col min="6917" max="6917" width="72.28515625" style="238" customWidth="1"/>
    <col min="6918" max="6918" width="23.5703125" style="238" customWidth="1"/>
    <col min="6919" max="6920" width="23.42578125" style="238" customWidth="1"/>
    <col min="6921" max="6921" width="25.140625" style="238" customWidth="1"/>
    <col min="6922" max="6925" width="0" style="238" hidden="1" customWidth="1"/>
    <col min="6926" max="6926" width="30.5703125" style="238" customWidth="1"/>
    <col min="6927" max="6927" width="0" style="238" hidden="1" customWidth="1"/>
    <col min="6928" max="7168" width="9.140625" style="238"/>
    <col min="7169" max="7169" width="13.85546875" style="238" customWidth="1"/>
    <col min="7170" max="7170" width="14.140625" style="238" customWidth="1"/>
    <col min="7171" max="7171" width="13.42578125" style="238" customWidth="1"/>
    <col min="7172" max="7172" width="60.85546875" style="238" customWidth="1"/>
    <col min="7173" max="7173" width="72.28515625" style="238" customWidth="1"/>
    <col min="7174" max="7174" width="23.5703125" style="238" customWidth="1"/>
    <col min="7175" max="7176" width="23.42578125" style="238" customWidth="1"/>
    <col min="7177" max="7177" width="25.140625" style="238" customWidth="1"/>
    <col min="7178" max="7181" width="0" style="238" hidden="1" customWidth="1"/>
    <col min="7182" max="7182" width="30.5703125" style="238" customWidth="1"/>
    <col min="7183" max="7183" width="0" style="238" hidden="1" customWidth="1"/>
    <col min="7184" max="7424" width="9.140625" style="238"/>
    <col min="7425" max="7425" width="13.85546875" style="238" customWidth="1"/>
    <col min="7426" max="7426" width="14.140625" style="238" customWidth="1"/>
    <col min="7427" max="7427" width="13.42578125" style="238" customWidth="1"/>
    <col min="7428" max="7428" width="60.85546875" style="238" customWidth="1"/>
    <col min="7429" max="7429" width="72.28515625" style="238" customWidth="1"/>
    <col min="7430" max="7430" width="23.5703125" style="238" customWidth="1"/>
    <col min="7431" max="7432" width="23.42578125" style="238" customWidth="1"/>
    <col min="7433" max="7433" width="25.140625" style="238" customWidth="1"/>
    <col min="7434" max="7437" width="0" style="238" hidden="1" customWidth="1"/>
    <col min="7438" max="7438" width="30.5703125" style="238" customWidth="1"/>
    <col min="7439" max="7439" width="0" style="238" hidden="1" customWidth="1"/>
    <col min="7440" max="7680" width="9.140625" style="238"/>
    <col min="7681" max="7681" width="13.85546875" style="238" customWidth="1"/>
    <col min="7682" max="7682" width="14.140625" style="238" customWidth="1"/>
    <col min="7683" max="7683" width="13.42578125" style="238" customWidth="1"/>
    <col min="7684" max="7684" width="60.85546875" style="238" customWidth="1"/>
    <col min="7685" max="7685" width="72.28515625" style="238" customWidth="1"/>
    <col min="7686" max="7686" width="23.5703125" style="238" customWidth="1"/>
    <col min="7687" max="7688" width="23.42578125" style="238" customWidth="1"/>
    <col min="7689" max="7689" width="25.140625" style="238" customWidth="1"/>
    <col min="7690" max="7693" width="0" style="238" hidden="1" customWidth="1"/>
    <col min="7694" max="7694" width="30.5703125" style="238" customWidth="1"/>
    <col min="7695" max="7695" width="0" style="238" hidden="1" customWidth="1"/>
    <col min="7696" max="7936" width="9.140625" style="238"/>
    <col min="7937" max="7937" width="13.85546875" style="238" customWidth="1"/>
    <col min="7938" max="7938" width="14.140625" style="238" customWidth="1"/>
    <col min="7939" max="7939" width="13.42578125" style="238" customWidth="1"/>
    <col min="7940" max="7940" width="60.85546875" style="238" customWidth="1"/>
    <col min="7941" max="7941" width="72.28515625" style="238" customWidth="1"/>
    <col min="7942" max="7942" width="23.5703125" style="238" customWidth="1"/>
    <col min="7943" max="7944" width="23.42578125" style="238" customWidth="1"/>
    <col min="7945" max="7945" width="25.140625" style="238" customWidth="1"/>
    <col min="7946" max="7949" width="0" style="238" hidden="1" customWidth="1"/>
    <col min="7950" max="7950" width="30.5703125" style="238" customWidth="1"/>
    <col min="7951" max="7951" width="0" style="238" hidden="1" customWidth="1"/>
    <col min="7952" max="8192" width="9.140625" style="238"/>
    <col min="8193" max="8193" width="13.85546875" style="238" customWidth="1"/>
    <col min="8194" max="8194" width="14.140625" style="238" customWidth="1"/>
    <col min="8195" max="8195" width="13.42578125" style="238" customWidth="1"/>
    <col min="8196" max="8196" width="60.85546875" style="238" customWidth="1"/>
    <col min="8197" max="8197" width="72.28515625" style="238" customWidth="1"/>
    <col min="8198" max="8198" width="23.5703125" style="238" customWidth="1"/>
    <col min="8199" max="8200" width="23.42578125" style="238" customWidth="1"/>
    <col min="8201" max="8201" width="25.140625" style="238" customWidth="1"/>
    <col min="8202" max="8205" width="0" style="238" hidden="1" customWidth="1"/>
    <col min="8206" max="8206" width="30.5703125" style="238" customWidth="1"/>
    <col min="8207" max="8207" width="0" style="238" hidden="1" customWidth="1"/>
    <col min="8208" max="8448" width="9.140625" style="238"/>
    <col min="8449" max="8449" width="13.85546875" style="238" customWidth="1"/>
    <col min="8450" max="8450" width="14.140625" style="238" customWidth="1"/>
    <col min="8451" max="8451" width="13.42578125" style="238" customWidth="1"/>
    <col min="8452" max="8452" width="60.85546875" style="238" customWidth="1"/>
    <col min="8453" max="8453" width="72.28515625" style="238" customWidth="1"/>
    <col min="8454" max="8454" width="23.5703125" style="238" customWidth="1"/>
    <col min="8455" max="8456" width="23.42578125" style="238" customWidth="1"/>
    <col min="8457" max="8457" width="25.140625" style="238" customWidth="1"/>
    <col min="8458" max="8461" width="0" style="238" hidden="1" customWidth="1"/>
    <col min="8462" max="8462" width="30.5703125" style="238" customWidth="1"/>
    <col min="8463" max="8463" width="0" style="238" hidden="1" customWidth="1"/>
    <col min="8464" max="8704" width="9.140625" style="238"/>
    <col min="8705" max="8705" width="13.85546875" style="238" customWidth="1"/>
    <col min="8706" max="8706" width="14.140625" style="238" customWidth="1"/>
    <col min="8707" max="8707" width="13.42578125" style="238" customWidth="1"/>
    <col min="8708" max="8708" width="60.85546875" style="238" customWidth="1"/>
    <col min="8709" max="8709" width="72.28515625" style="238" customWidth="1"/>
    <col min="8710" max="8710" width="23.5703125" style="238" customWidth="1"/>
    <col min="8711" max="8712" width="23.42578125" style="238" customWidth="1"/>
    <col min="8713" max="8713" width="25.140625" style="238" customWidth="1"/>
    <col min="8714" max="8717" width="0" style="238" hidden="1" customWidth="1"/>
    <col min="8718" max="8718" width="30.5703125" style="238" customWidth="1"/>
    <col min="8719" max="8719" width="0" style="238" hidden="1" customWidth="1"/>
    <col min="8720" max="8960" width="9.140625" style="238"/>
    <col min="8961" max="8961" width="13.85546875" style="238" customWidth="1"/>
    <col min="8962" max="8962" width="14.140625" style="238" customWidth="1"/>
    <col min="8963" max="8963" width="13.42578125" style="238" customWidth="1"/>
    <col min="8964" max="8964" width="60.85546875" style="238" customWidth="1"/>
    <col min="8965" max="8965" width="72.28515625" style="238" customWidth="1"/>
    <col min="8966" max="8966" width="23.5703125" style="238" customWidth="1"/>
    <col min="8967" max="8968" width="23.42578125" style="238" customWidth="1"/>
    <col min="8969" max="8969" width="25.140625" style="238" customWidth="1"/>
    <col min="8970" max="8973" width="0" style="238" hidden="1" customWidth="1"/>
    <col min="8974" max="8974" width="30.5703125" style="238" customWidth="1"/>
    <col min="8975" max="8975" width="0" style="238" hidden="1" customWidth="1"/>
    <col min="8976" max="9216" width="9.140625" style="238"/>
    <col min="9217" max="9217" width="13.85546875" style="238" customWidth="1"/>
    <col min="9218" max="9218" width="14.140625" style="238" customWidth="1"/>
    <col min="9219" max="9219" width="13.42578125" style="238" customWidth="1"/>
    <col min="9220" max="9220" width="60.85546875" style="238" customWidth="1"/>
    <col min="9221" max="9221" width="72.28515625" style="238" customWidth="1"/>
    <col min="9222" max="9222" width="23.5703125" style="238" customWidth="1"/>
    <col min="9223" max="9224" width="23.42578125" style="238" customWidth="1"/>
    <col min="9225" max="9225" width="25.140625" style="238" customWidth="1"/>
    <col min="9226" max="9229" width="0" style="238" hidden="1" customWidth="1"/>
    <col min="9230" max="9230" width="30.5703125" style="238" customWidth="1"/>
    <col min="9231" max="9231" width="0" style="238" hidden="1" customWidth="1"/>
    <col min="9232" max="9472" width="9.140625" style="238"/>
    <col min="9473" max="9473" width="13.85546875" style="238" customWidth="1"/>
    <col min="9474" max="9474" width="14.140625" style="238" customWidth="1"/>
    <col min="9475" max="9475" width="13.42578125" style="238" customWidth="1"/>
    <col min="9476" max="9476" width="60.85546875" style="238" customWidth="1"/>
    <col min="9477" max="9477" width="72.28515625" style="238" customWidth="1"/>
    <col min="9478" max="9478" width="23.5703125" style="238" customWidth="1"/>
    <col min="9479" max="9480" width="23.42578125" style="238" customWidth="1"/>
    <col min="9481" max="9481" width="25.140625" style="238" customWidth="1"/>
    <col min="9482" max="9485" width="0" style="238" hidden="1" customWidth="1"/>
    <col min="9486" max="9486" width="30.5703125" style="238" customWidth="1"/>
    <col min="9487" max="9487" width="0" style="238" hidden="1" customWidth="1"/>
    <col min="9488" max="9728" width="9.140625" style="238"/>
    <col min="9729" max="9729" width="13.85546875" style="238" customWidth="1"/>
    <col min="9730" max="9730" width="14.140625" style="238" customWidth="1"/>
    <col min="9731" max="9731" width="13.42578125" style="238" customWidth="1"/>
    <col min="9732" max="9732" width="60.85546875" style="238" customWidth="1"/>
    <col min="9733" max="9733" width="72.28515625" style="238" customWidth="1"/>
    <col min="9734" max="9734" width="23.5703125" style="238" customWidth="1"/>
    <col min="9735" max="9736" width="23.42578125" style="238" customWidth="1"/>
    <col min="9737" max="9737" width="25.140625" style="238" customWidth="1"/>
    <col min="9738" max="9741" width="0" style="238" hidden="1" customWidth="1"/>
    <col min="9742" max="9742" width="30.5703125" style="238" customWidth="1"/>
    <col min="9743" max="9743" width="0" style="238" hidden="1" customWidth="1"/>
    <col min="9744" max="9984" width="9.140625" style="238"/>
    <col min="9985" max="9985" width="13.85546875" style="238" customWidth="1"/>
    <col min="9986" max="9986" width="14.140625" style="238" customWidth="1"/>
    <col min="9987" max="9987" width="13.42578125" style="238" customWidth="1"/>
    <col min="9988" max="9988" width="60.85546875" style="238" customWidth="1"/>
    <col min="9989" max="9989" width="72.28515625" style="238" customWidth="1"/>
    <col min="9990" max="9990" width="23.5703125" style="238" customWidth="1"/>
    <col min="9991" max="9992" width="23.42578125" style="238" customWidth="1"/>
    <col min="9993" max="9993" width="25.140625" style="238" customWidth="1"/>
    <col min="9994" max="9997" width="0" style="238" hidden="1" customWidth="1"/>
    <col min="9998" max="9998" width="30.5703125" style="238" customWidth="1"/>
    <col min="9999" max="9999" width="0" style="238" hidden="1" customWidth="1"/>
    <col min="10000" max="10240" width="9.140625" style="238"/>
    <col min="10241" max="10241" width="13.85546875" style="238" customWidth="1"/>
    <col min="10242" max="10242" width="14.140625" style="238" customWidth="1"/>
    <col min="10243" max="10243" width="13.42578125" style="238" customWidth="1"/>
    <col min="10244" max="10244" width="60.85546875" style="238" customWidth="1"/>
    <col min="10245" max="10245" width="72.28515625" style="238" customWidth="1"/>
    <col min="10246" max="10246" width="23.5703125" style="238" customWidth="1"/>
    <col min="10247" max="10248" width="23.42578125" style="238" customWidth="1"/>
    <col min="10249" max="10249" width="25.140625" style="238" customWidth="1"/>
    <col min="10250" max="10253" width="0" style="238" hidden="1" customWidth="1"/>
    <col min="10254" max="10254" width="30.5703125" style="238" customWidth="1"/>
    <col min="10255" max="10255" width="0" style="238" hidden="1" customWidth="1"/>
    <col min="10256" max="10496" width="9.140625" style="238"/>
    <col min="10497" max="10497" width="13.85546875" style="238" customWidth="1"/>
    <col min="10498" max="10498" width="14.140625" style="238" customWidth="1"/>
    <col min="10499" max="10499" width="13.42578125" style="238" customWidth="1"/>
    <col min="10500" max="10500" width="60.85546875" style="238" customWidth="1"/>
    <col min="10501" max="10501" width="72.28515625" style="238" customWidth="1"/>
    <col min="10502" max="10502" width="23.5703125" style="238" customWidth="1"/>
    <col min="10503" max="10504" width="23.42578125" style="238" customWidth="1"/>
    <col min="10505" max="10505" width="25.140625" style="238" customWidth="1"/>
    <col min="10506" max="10509" width="0" style="238" hidden="1" customWidth="1"/>
    <col min="10510" max="10510" width="30.5703125" style="238" customWidth="1"/>
    <col min="10511" max="10511" width="0" style="238" hidden="1" customWidth="1"/>
    <col min="10512" max="10752" width="9.140625" style="238"/>
    <col min="10753" max="10753" width="13.85546875" style="238" customWidth="1"/>
    <col min="10754" max="10754" width="14.140625" style="238" customWidth="1"/>
    <col min="10755" max="10755" width="13.42578125" style="238" customWidth="1"/>
    <col min="10756" max="10756" width="60.85546875" style="238" customWidth="1"/>
    <col min="10757" max="10757" width="72.28515625" style="238" customWidth="1"/>
    <col min="10758" max="10758" width="23.5703125" style="238" customWidth="1"/>
    <col min="10759" max="10760" width="23.42578125" style="238" customWidth="1"/>
    <col min="10761" max="10761" width="25.140625" style="238" customWidth="1"/>
    <col min="10762" max="10765" width="0" style="238" hidden="1" customWidth="1"/>
    <col min="10766" max="10766" width="30.5703125" style="238" customWidth="1"/>
    <col min="10767" max="10767" width="0" style="238" hidden="1" customWidth="1"/>
    <col min="10768" max="11008" width="9.140625" style="238"/>
    <col min="11009" max="11009" width="13.85546875" style="238" customWidth="1"/>
    <col min="11010" max="11010" width="14.140625" style="238" customWidth="1"/>
    <col min="11011" max="11011" width="13.42578125" style="238" customWidth="1"/>
    <col min="11012" max="11012" width="60.85546875" style="238" customWidth="1"/>
    <col min="11013" max="11013" width="72.28515625" style="238" customWidth="1"/>
    <col min="11014" max="11014" width="23.5703125" style="238" customWidth="1"/>
    <col min="11015" max="11016" width="23.42578125" style="238" customWidth="1"/>
    <col min="11017" max="11017" width="25.140625" style="238" customWidth="1"/>
    <col min="11018" max="11021" width="0" style="238" hidden="1" customWidth="1"/>
    <col min="11022" max="11022" width="30.5703125" style="238" customWidth="1"/>
    <col min="11023" max="11023" width="0" style="238" hidden="1" customWidth="1"/>
    <col min="11024" max="11264" width="9.140625" style="238"/>
    <col min="11265" max="11265" width="13.85546875" style="238" customWidth="1"/>
    <col min="11266" max="11266" width="14.140625" style="238" customWidth="1"/>
    <col min="11267" max="11267" width="13.42578125" style="238" customWidth="1"/>
    <col min="11268" max="11268" width="60.85546875" style="238" customWidth="1"/>
    <col min="11269" max="11269" width="72.28515625" style="238" customWidth="1"/>
    <col min="11270" max="11270" width="23.5703125" style="238" customWidth="1"/>
    <col min="11271" max="11272" width="23.42578125" style="238" customWidth="1"/>
    <col min="11273" max="11273" width="25.140625" style="238" customWidth="1"/>
    <col min="11274" max="11277" width="0" style="238" hidden="1" customWidth="1"/>
    <col min="11278" max="11278" width="30.5703125" style="238" customWidth="1"/>
    <col min="11279" max="11279" width="0" style="238" hidden="1" customWidth="1"/>
    <col min="11280" max="11520" width="9.140625" style="238"/>
    <col min="11521" max="11521" width="13.85546875" style="238" customWidth="1"/>
    <col min="11522" max="11522" width="14.140625" style="238" customWidth="1"/>
    <col min="11523" max="11523" width="13.42578125" style="238" customWidth="1"/>
    <col min="11524" max="11524" width="60.85546875" style="238" customWidth="1"/>
    <col min="11525" max="11525" width="72.28515625" style="238" customWidth="1"/>
    <col min="11526" max="11526" width="23.5703125" style="238" customWidth="1"/>
    <col min="11527" max="11528" width="23.42578125" style="238" customWidth="1"/>
    <col min="11529" max="11529" width="25.140625" style="238" customWidth="1"/>
    <col min="11530" max="11533" width="0" style="238" hidden="1" customWidth="1"/>
    <col min="11534" max="11534" width="30.5703125" style="238" customWidth="1"/>
    <col min="11535" max="11535" width="0" style="238" hidden="1" customWidth="1"/>
    <col min="11536" max="11776" width="9.140625" style="238"/>
    <col min="11777" max="11777" width="13.85546875" style="238" customWidth="1"/>
    <col min="11778" max="11778" width="14.140625" style="238" customWidth="1"/>
    <col min="11779" max="11779" width="13.42578125" style="238" customWidth="1"/>
    <col min="11780" max="11780" width="60.85546875" style="238" customWidth="1"/>
    <col min="11781" max="11781" width="72.28515625" style="238" customWidth="1"/>
    <col min="11782" max="11782" width="23.5703125" style="238" customWidth="1"/>
    <col min="11783" max="11784" width="23.42578125" style="238" customWidth="1"/>
    <col min="11785" max="11785" width="25.140625" style="238" customWidth="1"/>
    <col min="11786" max="11789" width="0" style="238" hidden="1" customWidth="1"/>
    <col min="11790" max="11790" width="30.5703125" style="238" customWidth="1"/>
    <col min="11791" max="11791" width="0" style="238" hidden="1" customWidth="1"/>
    <col min="11792" max="12032" width="9.140625" style="238"/>
    <col min="12033" max="12033" width="13.85546875" style="238" customWidth="1"/>
    <col min="12034" max="12034" width="14.140625" style="238" customWidth="1"/>
    <col min="12035" max="12035" width="13.42578125" style="238" customWidth="1"/>
    <col min="12036" max="12036" width="60.85546875" style="238" customWidth="1"/>
    <col min="12037" max="12037" width="72.28515625" style="238" customWidth="1"/>
    <col min="12038" max="12038" width="23.5703125" style="238" customWidth="1"/>
    <col min="12039" max="12040" width="23.42578125" style="238" customWidth="1"/>
    <col min="12041" max="12041" width="25.140625" style="238" customWidth="1"/>
    <col min="12042" max="12045" width="0" style="238" hidden="1" customWidth="1"/>
    <col min="12046" max="12046" width="30.5703125" style="238" customWidth="1"/>
    <col min="12047" max="12047" width="0" style="238" hidden="1" customWidth="1"/>
    <col min="12048" max="12288" width="9.140625" style="238"/>
    <col min="12289" max="12289" width="13.85546875" style="238" customWidth="1"/>
    <col min="12290" max="12290" width="14.140625" style="238" customWidth="1"/>
    <col min="12291" max="12291" width="13.42578125" style="238" customWidth="1"/>
    <col min="12292" max="12292" width="60.85546875" style="238" customWidth="1"/>
    <col min="12293" max="12293" width="72.28515625" style="238" customWidth="1"/>
    <col min="12294" max="12294" width="23.5703125" style="238" customWidth="1"/>
    <col min="12295" max="12296" width="23.42578125" style="238" customWidth="1"/>
    <col min="12297" max="12297" width="25.140625" style="238" customWidth="1"/>
    <col min="12298" max="12301" width="0" style="238" hidden="1" customWidth="1"/>
    <col min="12302" max="12302" width="30.5703125" style="238" customWidth="1"/>
    <col min="12303" max="12303" width="0" style="238" hidden="1" customWidth="1"/>
    <col min="12304" max="12544" width="9.140625" style="238"/>
    <col min="12545" max="12545" width="13.85546875" style="238" customWidth="1"/>
    <col min="12546" max="12546" width="14.140625" style="238" customWidth="1"/>
    <col min="12547" max="12547" width="13.42578125" style="238" customWidth="1"/>
    <col min="12548" max="12548" width="60.85546875" style="238" customWidth="1"/>
    <col min="12549" max="12549" width="72.28515625" style="238" customWidth="1"/>
    <col min="12550" max="12550" width="23.5703125" style="238" customWidth="1"/>
    <col min="12551" max="12552" width="23.42578125" style="238" customWidth="1"/>
    <col min="12553" max="12553" width="25.140625" style="238" customWidth="1"/>
    <col min="12554" max="12557" width="0" style="238" hidden="1" customWidth="1"/>
    <col min="12558" max="12558" width="30.5703125" style="238" customWidth="1"/>
    <col min="12559" max="12559" width="0" style="238" hidden="1" customWidth="1"/>
    <col min="12560" max="12800" width="9.140625" style="238"/>
    <col min="12801" max="12801" width="13.85546875" style="238" customWidth="1"/>
    <col min="12802" max="12802" width="14.140625" style="238" customWidth="1"/>
    <col min="12803" max="12803" width="13.42578125" style="238" customWidth="1"/>
    <col min="12804" max="12804" width="60.85546875" style="238" customWidth="1"/>
    <col min="12805" max="12805" width="72.28515625" style="238" customWidth="1"/>
    <col min="12806" max="12806" width="23.5703125" style="238" customWidth="1"/>
    <col min="12807" max="12808" width="23.42578125" style="238" customWidth="1"/>
    <col min="12809" max="12809" width="25.140625" style="238" customWidth="1"/>
    <col min="12810" max="12813" width="0" style="238" hidden="1" customWidth="1"/>
    <col min="12814" max="12814" width="30.5703125" style="238" customWidth="1"/>
    <col min="12815" max="12815" width="0" style="238" hidden="1" customWidth="1"/>
    <col min="12816" max="13056" width="9.140625" style="238"/>
    <col min="13057" max="13057" width="13.85546875" style="238" customWidth="1"/>
    <col min="13058" max="13058" width="14.140625" style="238" customWidth="1"/>
    <col min="13059" max="13059" width="13.42578125" style="238" customWidth="1"/>
    <col min="13060" max="13060" width="60.85546875" style="238" customWidth="1"/>
    <col min="13061" max="13061" width="72.28515625" style="238" customWidth="1"/>
    <col min="13062" max="13062" width="23.5703125" style="238" customWidth="1"/>
    <col min="13063" max="13064" width="23.42578125" style="238" customWidth="1"/>
    <col min="13065" max="13065" width="25.140625" style="238" customWidth="1"/>
    <col min="13066" max="13069" width="0" style="238" hidden="1" customWidth="1"/>
    <col min="13070" max="13070" width="30.5703125" style="238" customWidth="1"/>
    <col min="13071" max="13071" width="0" style="238" hidden="1" customWidth="1"/>
    <col min="13072" max="13312" width="9.140625" style="238"/>
    <col min="13313" max="13313" width="13.85546875" style="238" customWidth="1"/>
    <col min="13314" max="13314" width="14.140625" style="238" customWidth="1"/>
    <col min="13315" max="13315" width="13.42578125" style="238" customWidth="1"/>
    <col min="13316" max="13316" width="60.85546875" style="238" customWidth="1"/>
    <col min="13317" max="13317" width="72.28515625" style="238" customWidth="1"/>
    <col min="13318" max="13318" width="23.5703125" style="238" customWidth="1"/>
    <col min="13319" max="13320" width="23.42578125" style="238" customWidth="1"/>
    <col min="13321" max="13321" width="25.140625" style="238" customWidth="1"/>
    <col min="13322" max="13325" width="0" style="238" hidden="1" customWidth="1"/>
    <col min="13326" max="13326" width="30.5703125" style="238" customWidth="1"/>
    <col min="13327" max="13327" width="0" style="238" hidden="1" customWidth="1"/>
    <col min="13328" max="13568" width="9.140625" style="238"/>
    <col min="13569" max="13569" width="13.85546875" style="238" customWidth="1"/>
    <col min="13570" max="13570" width="14.140625" style="238" customWidth="1"/>
    <col min="13571" max="13571" width="13.42578125" style="238" customWidth="1"/>
    <col min="13572" max="13572" width="60.85546875" style="238" customWidth="1"/>
    <col min="13573" max="13573" width="72.28515625" style="238" customWidth="1"/>
    <col min="13574" max="13574" width="23.5703125" style="238" customWidth="1"/>
    <col min="13575" max="13576" width="23.42578125" style="238" customWidth="1"/>
    <col min="13577" max="13577" width="25.140625" style="238" customWidth="1"/>
    <col min="13578" max="13581" width="0" style="238" hidden="1" customWidth="1"/>
    <col min="13582" max="13582" width="30.5703125" style="238" customWidth="1"/>
    <col min="13583" max="13583" width="0" style="238" hidden="1" customWidth="1"/>
    <col min="13584" max="13824" width="9.140625" style="238"/>
    <col min="13825" max="13825" width="13.85546875" style="238" customWidth="1"/>
    <col min="13826" max="13826" width="14.140625" style="238" customWidth="1"/>
    <col min="13827" max="13827" width="13.42578125" style="238" customWidth="1"/>
    <col min="13828" max="13828" width="60.85546875" style="238" customWidth="1"/>
    <col min="13829" max="13829" width="72.28515625" style="238" customWidth="1"/>
    <col min="13830" max="13830" width="23.5703125" style="238" customWidth="1"/>
    <col min="13831" max="13832" width="23.42578125" style="238" customWidth="1"/>
    <col min="13833" max="13833" width="25.140625" style="238" customWidth="1"/>
    <col min="13834" max="13837" width="0" style="238" hidden="1" customWidth="1"/>
    <col min="13838" max="13838" width="30.5703125" style="238" customWidth="1"/>
    <col min="13839" max="13839" width="0" style="238" hidden="1" customWidth="1"/>
    <col min="13840" max="14080" width="9.140625" style="238"/>
    <col min="14081" max="14081" width="13.85546875" style="238" customWidth="1"/>
    <col min="14082" max="14082" width="14.140625" style="238" customWidth="1"/>
    <col min="14083" max="14083" width="13.42578125" style="238" customWidth="1"/>
    <col min="14084" max="14084" width="60.85546875" style="238" customWidth="1"/>
    <col min="14085" max="14085" width="72.28515625" style="238" customWidth="1"/>
    <col min="14086" max="14086" width="23.5703125" style="238" customWidth="1"/>
    <col min="14087" max="14088" width="23.42578125" style="238" customWidth="1"/>
    <col min="14089" max="14089" width="25.140625" style="238" customWidth="1"/>
    <col min="14090" max="14093" width="0" style="238" hidden="1" customWidth="1"/>
    <col min="14094" max="14094" width="30.5703125" style="238" customWidth="1"/>
    <col min="14095" max="14095" width="0" style="238" hidden="1" customWidth="1"/>
    <col min="14096" max="14336" width="9.140625" style="238"/>
    <col min="14337" max="14337" width="13.85546875" style="238" customWidth="1"/>
    <col min="14338" max="14338" width="14.140625" style="238" customWidth="1"/>
    <col min="14339" max="14339" width="13.42578125" style="238" customWidth="1"/>
    <col min="14340" max="14340" width="60.85546875" style="238" customWidth="1"/>
    <col min="14341" max="14341" width="72.28515625" style="238" customWidth="1"/>
    <col min="14342" max="14342" width="23.5703125" style="238" customWidth="1"/>
    <col min="14343" max="14344" width="23.42578125" style="238" customWidth="1"/>
    <col min="14345" max="14345" width="25.140625" style="238" customWidth="1"/>
    <col min="14346" max="14349" width="0" style="238" hidden="1" customWidth="1"/>
    <col min="14350" max="14350" width="30.5703125" style="238" customWidth="1"/>
    <col min="14351" max="14351" width="0" style="238" hidden="1" customWidth="1"/>
    <col min="14352" max="14592" width="9.140625" style="238"/>
    <col min="14593" max="14593" width="13.85546875" style="238" customWidth="1"/>
    <col min="14594" max="14594" width="14.140625" style="238" customWidth="1"/>
    <col min="14595" max="14595" width="13.42578125" style="238" customWidth="1"/>
    <col min="14596" max="14596" width="60.85546875" style="238" customWidth="1"/>
    <col min="14597" max="14597" width="72.28515625" style="238" customWidth="1"/>
    <col min="14598" max="14598" width="23.5703125" style="238" customWidth="1"/>
    <col min="14599" max="14600" width="23.42578125" style="238" customWidth="1"/>
    <col min="14601" max="14601" width="25.140625" style="238" customWidth="1"/>
    <col min="14602" max="14605" width="0" style="238" hidden="1" customWidth="1"/>
    <col min="14606" max="14606" width="30.5703125" style="238" customWidth="1"/>
    <col min="14607" max="14607" width="0" style="238" hidden="1" customWidth="1"/>
    <col min="14608" max="14848" width="9.140625" style="238"/>
    <col min="14849" max="14849" width="13.85546875" style="238" customWidth="1"/>
    <col min="14850" max="14850" width="14.140625" style="238" customWidth="1"/>
    <col min="14851" max="14851" width="13.42578125" style="238" customWidth="1"/>
    <col min="14852" max="14852" width="60.85546875" style="238" customWidth="1"/>
    <col min="14853" max="14853" width="72.28515625" style="238" customWidth="1"/>
    <col min="14854" max="14854" width="23.5703125" style="238" customWidth="1"/>
    <col min="14855" max="14856" width="23.42578125" style="238" customWidth="1"/>
    <col min="14857" max="14857" width="25.140625" style="238" customWidth="1"/>
    <col min="14858" max="14861" width="0" style="238" hidden="1" customWidth="1"/>
    <col min="14862" max="14862" width="30.5703125" style="238" customWidth="1"/>
    <col min="14863" max="14863" width="0" style="238" hidden="1" customWidth="1"/>
    <col min="14864" max="15104" width="9.140625" style="238"/>
    <col min="15105" max="15105" width="13.85546875" style="238" customWidth="1"/>
    <col min="15106" max="15106" width="14.140625" style="238" customWidth="1"/>
    <col min="15107" max="15107" width="13.42578125" style="238" customWidth="1"/>
    <col min="15108" max="15108" width="60.85546875" style="238" customWidth="1"/>
    <col min="15109" max="15109" width="72.28515625" style="238" customWidth="1"/>
    <col min="15110" max="15110" width="23.5703125" style="238" customWidth="1"/>
    <col min="15111" max="15112" width="23.42578125" style="238" customWidth="1"/>
    <col min="15113" max="15113" width="25.140625" style="238" customWidth="1"/>
    <col min="15114" max="15117" width="0" style="238" hidden="1" customWidth="1"/>
    <col min="15118" max="15118" width="30.5703125" style="238" customWidth="1"/>
    <col min="15119" max="15119" width="0" style="238" hidden="1" customWidth="1"/>
    <col min="15120" max="15360" width="9.140625" style="238"/>
    <col min="15361" max="15361" width="13.85546875" style="238" customWidth="1"/>
    <col min="15362" max="15362" width="14.140625" style="238" customWidth="1"/>
    <col min="15363" max="15363" width="13.42578125" style="238" customWidth="1"/>
    <col min="15364" max="15364" width="60.85546875" style="238" customWidth="1"/>
    <col min="15365" max="15365" width="72.28515625" style="238" customWidth="1"/>
    <col min="15366" max="15366" width="23.5703125" style="238" customWidth="1"/>
    <col min="15367" max="15368" width="23.42578125" style="238" customWidth="1"/>
    <col min="15369" max="15369" width="25.140625" style="238" customWidth="1"/>
    <col min="15370" max="15373" width="0" style="238" hidden="1" customWidth="1"/>
    <col min="15374" max="15374" width="30.5703125" style="238" customWidth="1"/>
    <col min="15375" max="15375" width="0" style="238" hidden="1" customWidth="1"/>
    <col min="15376" max="15616" width="9.140625" style="238"/>
    <col min="15617" max="15617" width="13.85546875" style="238" customWidth="1"/>
    <col min="15618" max="15618" width="14.140625" style="238" customWidth="1"/>
    <col min="15619" max="15619" width="13.42578125" style="238" customWidth="1"/>
    <col min="15620" max="15620" width="60.85546875" style="238" customWidth="1"/>
    <col min="15621" max="15621" width="72.28515625" style="238" customWidth="1"/>
    <col min="15622" max="15622" width="23.5703125" style="238" customWidth="1"/>
    <col min="15623" max="15624" width="23.42578125" style="238" customWidth="1"/>
    <col min="15625" max="15625" width="25.140625" style="238" customWidth="1"/>
    <col min="15626" max="15629" width="0" style="238" hidden="1" customWidth="1"/>
    <col min="15630" max="15630" width="30.5703125" style="238" customWidth="1"/>
    <col min="15631" max="15631" width="0" style="238" hidden="1" customWidth="1"/>
    <col min="15632" max="15872" width="9.140625" style="238"/>
    <col min="15873" max="15873" width="13.85546875" style="238" customWidth="1"/>
    <col min="15874" max="15874" width="14.140625" style="238" customWidth="1"/>
    <col min="15875" max="15875" width="13.42578125" style="238" customWidth="1"/>
    <col min="15876" max="15876" width="60.85546875" style="238" customWidth="1"/>
    <col min="15877" max="15877" width="72.28515625" style="238" customWidth="1"/>
    <col min="15878" max="15878" width="23.5703125" style="238" customWidth="1"/>
    <col min="15879" max="15880" width="23.42578125" style="238" customWidth="1"/>
    <col min="15881" max="15881" width="25.140625" style="238" customWidth="1"/>
    <col min="15882" max="15885" width="0" style="238" hidden="1" customWidth="1"/>
    <col min="15886" max="15886" width="30.5703125" style="238" customWidth="1"/>
    <col min="15887" max="15887" width="0" style="238" hidden="1" customWidth="1"/>
    <col min="15888" max="16128" width="9.140625" style="238"/>
    <col min="16129" max="16129" width="13.85546875" style="238" customWidth="1"/>
    <col min="16130" max="16130" width="14.140625" style="238" customWidth="1"/>
    <col min="16131" max="16131" width="13.42578125" style="238" customWidth="1"/>
    <col min="16132" max="16132" width="60.85546875" style="238" customWidth="1"/>
    <col min="16133" max="16133" width="72.28515625" style="238" customWidth="1"/>
    <col min="16134" max="16134" width="23.5703125" style="238" customWidth="1"/>
    <col min="16135" max="16136" width="23.42578125" style="238" customWidth="1"/>
    <col min="16137" max="16137" width="25.140625" style="238" customWidth="1"/>
    <col min="16138" max="16141" width="0" style="238" hidden="1" customWidth="1"/>
    <col min="16142" max="16142" width="30.5703125" style="238" customWidth="1"/>
    <col min="16143" max="16143" width="0" style="238" hidden="1" customWidth="1"/>
    <col min="16144" max="16384" width="9.140625" style="238"/>
  </cols>
  <sheetData>
    <row r="1" spans="1:14" ht="20.25" x14ac:dyDescent="0.3">
      <c r="G1" s="864" t="s">
        <v>522</v>
      </c>
      <c r="H1" s="864"/>
      <c r="I1" s="864"/>
      <c r="J1" s="864"/>
    </row>
    <row r="2" spans="1:14" ht="20.25" x14ac:dyDescent="0.3">
      <c r="D2" s="244"/>
      <c r="G2" s="245" t="s">
        <v>833</v>
      </c>
      <c r="H2" s="245"/>
      <c r="I2" s="245"/>
      <c r="J2" s="245"/>
    </row>
    <row r="3" spans="1:14" s="246" customFormat="1" ht="21" customHeight="1" x14ac:dyDescent="0.3">
      <c r="B3" s="239"/>
      <c r="C3" s="247"/>
      <c r="D3" s="248"/>
      <c r="E3" s="248"/>
      <c r="F3" s="249"/>
      <c r="G3" s="245" t="s">
        <v>1105</v>
      </c>
      <c r="H3" s="245"/>
      <c r="I3" s="245"/>
      <c r="J3" s="245"/>
      <c r="K3" s="249"/>
      <c r="L3" s="249"/>
      <c r="M3" s="249"/>
      <c r="N3" s="249"/>
    </row>
    <row r="4" spans="1:14" s="250" customFormat="1" ht="55.5" customHeight="1" x14ac:dyDescent="0.2">
      <c r="A4" s="865" t="s">
        <v>523</v>
      </c>
      <c r="B4" s="865"/>
      <c r="C4" s="865"/>
      <c r="D4" s="865"/>
      <c r="E4" s="865"/>
      <c r="F4" s="865"/>
      <c r="G4" s="865"/>
      <c r="H4" s="865"/>
      <c r="I4" s="865"/>
      <c r="J4" s="865"/>
      <c r="K4" s="865"/>
      <c r="L4" s="865"/>
      <c r="M4" s="865"/>
      <c r="N4" s="865"/>
    </row>
    <row r="5" spans="1:14" s="250" customFormat="1" ht="27.75" customHeight="1" x14ac:dyDescent="0.2">
      <c r="A5" s="866">
        <v>11503000000</v>
      </c>
      <c r="B5" s="866"/>
      <c r="C5" s="866"/>
      <c r="D5" s="251"/>
      <c r="E5" s="251"/>
      <c r="F5" s="252"/>
      <c r="I5" s="252"/>
      <c r="J5" s="252"/>
      <c r="K5" s="252"/>
      <c r="L5" s="252"/>
      <c r="M5" s="252"/>
      <c r="N5" s="252"/>
    </row>
    <row r="6" spans="1:14" s="250" customFormat="1" ht="27.75" customHeight="1" thickBot="1" x14ac:dyDescent="0.3">
      <c r="A6" s="867" t="s">
        <v>2</v>
      </c>
      <c r="B6" s="867"/>
      <c r="C6" s="867"/>
      <c r="D6" s="251"/>
      <c r="E6" s="251"/>
      <c r="F6" s="252"/>
      <c r="I6" s="252"/>
      <c r="J6" s="252"/>
      <c r="K6" s="252"/>
      <c r="L6" s="252"/>
      <c r="M6" s="252"/>
      <c r="N6" s="17" t="s">
        <v>3</v>
      </c>
    </row>
    <row r="7" spans="1:14" s="126" customFormat="1" ht="26.25" customHeight="1" thickBot="1" x14ac:dyDescent="0.25">
      <c r="A7" s="868" t="s">
        <v>524</v>
      </c>
      <c r="B7" s="870" t="s">
        <v>525</v>
      </c>
      <c r="C7" s="868" t="s">
        <v>526</v>
      </c>
      <c r="D7" s="872" t="s">
        <v>527</v>
      </c>
      <c r="E7" s="874" t="s">
        <v>528</v>
      </c>
      <c r="F7" s="876" t="s">
        <v>529</v>
      </c>
      <c r="G7" s="858" t="s">
        <v>530</v>
      </c>
      <c r="H7" s="860" t="s">
        <v>531</v>
      </c>
      <c r="I7" s="862" t="s">
        <v>532</v>
      </c>
      <c r="J7" s="880" t="s">
        <v>533</v>
      </c>
      <c r="K7" s="881"/>
      <c r="L7" s="881"/>
      <c r="M7" s="882"/>
      <c r="N7" s="878" t="s">
        <v>534</v>
      </c>
    </row>
    <row r="8" spans="1:14" s="126" customFormat="1" ht="134.25" customHeight="1" thickBot="1" x14ac:dyDescent="0.25">
      <c r="A8" s="869"/>
      <c r="B8" s="871"/>
      <c r="C8" s="869"/>
      <c r="D8" s="873"/>
      <c r="E8" s="875"/>
      <c r="F8" s="877"/>
      <c r="G8" s="859"/>
      <c r="H8" s="861"/>
      <c r="I8" s="863"/>
      <c r="J8" s="526"/>
      <c r="K8" s="526"/>
      <c r="L8" s="525"/>
      <c r="M8" s="526"/>
      <c r="N8" s="879"/>
    </row>
    <row r="9" spans="1:14" s="253" customFormat="1" ht="18.75" customHeight="1" thickBot="1" x14ac:dyDescent="0.25">
      <c r="A9" s="465" t="s">
        <v>382</v>
      </c>
      <c r="B9" s="465">
        <v>2</v>
      </c>
      <c r="C9" s="465">
        <v>3</v>
      </c>
      <c r="D9" s="466">
        <v>4</v>
      </c>
      <c r="E9" s="465">
        <v>5</v>
      </c>
      <c r="F9" s="466">
        <v>6</v>
      </c>
      <c r="G9" s="465">
        <v>7</v>
      </c>
      <c r="H9" s="467"/>
      <c r="I9" s="467">
        <v>8</v>
      </c>
      <c r="J9" s="465">
        <v>9</v>
      </c>
      <c r="K9" s="465">
        <v>10</v>
      </c>
      <c r="L9" s="465">
        <v>11</v>
      </c>
      <c r="M9" s="465">
        <v>11</v>
      </c>
      <c r="N9" s="465">
        <v>9</v>
      </c>
    </row>
    <row r="10" spans="1:14" s="254" customFormat="1" ht="39" customHeight="1" x14ac:dyDescent="0.2">
      <c r="A10" s="477" t="s">
        <v>15</v>
      </c>
      <c r="B10" s="478"/>
      <c r="C10" s="479"/>
      <c r="D10" s="480" t="s">
        <v>683</v>
      </c>
      <c r="E10" s="481"/>
      <c r="F10" s="482"/>
      <c r="G10" s="482"/>
      <c r="H10" s="482"/>
      <c r="I10" s="483">
        <f>I11</f>
        <v>1896751</v>
      </c>
      <c r="J10" s="482" t="s">
        <v>495</v>
      </c>
      <c r="K10" s="482" t="s">
        <v>495</v>
      </c>
      <c r="L10" s="482" t="s">
        <v>495</v>
      </c>
      <c r="M10" s="482" t="s">
        <v>495</v>
      </c>
      <c r="N10" s="484"/>
    </row>
    <row r="11" spans="1:14" s="254" customFormat="1" ht="24" thickBot="1" x14ac:dyDescent="0.25">
      <c r="A11" s="485" t="s">
        <v>385</v>
      </c>
      <c r="B11" s="486"/>
      <c r="C11" s="486"/>
      <c r="D11" s="487" t="s">
        <v>683</v>
      </c>
      <c r="E11" s="488"/>
      <c r="F11" s="489"/>
      <c r="G11" s="490"/>
      <c r="H11" s="490"/>
      <c r="I11" s="490">
        <f>I17+I23+I38+I13</f>
        <v>1896751</v>
      </c>
      <c r="J11" s="491">
        <v>28362700</v>
      </c>
      <c r="K11" s="492">
        <v>0</v>
      </c>
      <c r="L11" s="492">
        <v>0</v>
      </c>
      <c r="M11" s="492">
        <v>0</v>
      </c>
      <c r="N11" s="493">
        <v>0</v>
      </c>
    </row>
    <row r="12" spans="1:14" s="254" customFormat="1" ht="59.25" customHeight="1" x14ac:dyDescent="0.2">
      <c r="A12" s="494"/>
      <c r="B12" s="468"/>
      <c r="C12" s="468"/>
      <c r="D12" s="469"/>
      <c r="E12" s="470"/>
      <c r="F12" s="471"/>
      <c r="G12" s="472"/>
      <c r="H12" s="472"/>
      <c r="I12" s="278">
        <v>0</v>
      </c>
      <c r="J12" s="473">
        <v>0</v>
      </c>
      <c r="K12" s="280"/>
      <c r="L12" s="280"/>
      <c r="M12" s="280"/>
      <c r="N12" s="495"/>
    </row>
    <row r="13" spans="1:14" s="254" customFormat="1" ht="66.75" customHeight="1" x14ac:dyDescent="0.2">
      <c r="A13" s="494" t="s">
        <v>1080</v>
      </c>
      <c r="B13" s="468" t="s">
        <v>1081</v>
      </c>
      <c r="C13" s="468" t="s">
        <v>172</v>
      </c>
      <c r="D13" s="469" t="s">
        <v>1082</v>
      </c>
      <c r="E13" s="470" t="s">
        <v>1083</v>
      </c>
      <c r="F13" s="471"/>
      <c r="G13" s="472"/>
      <c r="H13" s="472"/>
      <c r="I13" s="472">
        <v>210000</v>
      </c>
      <c r="J13" s="473">
        <v>0</v>
      </c>
      <c r="K13" s="280">
        <v>0</v>
      </c>
      <c r="L13" s="280"/>
      <c r="M13" s="280">
        <v>0</v>
      </c>
      <c r="N13" s="495"/>
    </row>
    <row r="14" spans="1:14" s="254" customFormat="1" ht="20.25" hidden="1" x14ac:dyDescent="0.2">
      <c r="A14" s="494"/>
      <c r="B14" s="468"/>
      <c r="C14" s="468"/>
      <c r="D14" s="469" t="s">
        <v>535</v>
      </c>
      <c r="E14" s="470"/>
      <c r="F14" s="471"/>
      <c r="G14" s="472"/>
      <c r="H14" s="472"/>
      <c r="I14" s="472"/>
      <c r="J14" s="473"/>
      <c r="K14" s="280"/>
      <c r="L14" s="280"/>
      <c r="M14" s="280"/>
      <c r="N14" s="495"/>
    </row>
    <row r="15" spans="1:14" s="254" customFormat="1" ht="59.25" hidden="1" customHeight="1" x14ac:dyDescent="0.2">
      <c r="A15" s="494"/>
      <c r="B15" s="468"/>
      <c r="C15" s="469"/>
      <c r="D15" s="469"/>
      <c r="E15" s="470"/>
      <c r="F15" s="471"/>
      <c r="G15" s="472"/>
      <c r="H15" s="472"/>
      <c r="I15" s="278">
        <v>0</v>
      </c>
      <c r="J15" s="473">
        <v>0</v>
      </c>
      <c r="K15" s="280"/>
      <c r="L15" s="280"/>
      <c r="M15" s="280"/>
      <c r="N15" s="495"/>
    </row>
    <row r="16" spans="1:14" s="254" customFormat="1" ht="59.25" hidden="1" customHeight="1" x14ac:dyDescent="0.2">
      <c r="A16" s="494"/>
      <c r="B16" s="468"/>
      <c r="C16" s="468"/>
      <c r="D16" s="469"/>
      <c r="E16" s="470"/>
      <c r="F16" s="471"/>
      <c r="G16" s="472"/>
      <c r="H16" s="472"/>
      <c r="I16" s="278">
        <v>0</v>
      </c>
      <c r="J16" s="473">
        <v>0</v>
      </c>
      <c r="K16" s="280"/>
      <c r="L16" s="280"/>
      <c r="M16" s="280"/>
      <c r="N16" s="495"/>
    </row>
    <row r="17" spans="1:15" s="254" customFormat="1" ht="40.5" x14ac:dyDescent="0.2">
      <c r="A17" s="494" t="s">
        <v>419</v>
      </c>
      <c r="B17" s="468" t="s">
        <v>420</v>
      </c>
      <c r="C17" s="469" t="s">
        <v>172</v>
      </c>
      <c r="D17" s="470" t="s">
        <v>421</v>
      </c>
      <c r="E17" s="470"/>
      <c r="F17" s="475"/>
      <c r="G17" s="472"/>
      <c r="H17" s="472"/>
      <c r="I17" s="472">
        <f>I19+I20+I21</f>
        <v>1686751</v>
      </c>
      <c r="J17" s="474">
        <v>18362700</v>
      </c>
      <c r="K17" s="280">
        <v>0</v>
      </c>
      <c r="L17" s="280">
        <v>0</v>
      </c>
      <c r="M17" s="280">
        <v>0</v>
      </c>
      <c r="N17" s="495"/>
    </row>
    <row r="18" spans="1:15" s="254" customFormat="1" ht="23.25" customHeight="1" x14ac:dyDescent="0.2">
      <c r="A18" s="494"/>
      <c r="B18" s="468"/>
      <c r="C18" s="468"/>
      <c r="D18" s="469" t="s">
        <v>535</v>
      </c>
      <c r="E18" s="470"/>
      <c r="F18" s="471"/>
      <c r="G18" s="472"/>
      <c r="H18" s="472"/>
      <c r="I18" s="278"/>
      <c r="J18" s="473"/>
      <c r="K18" s="280"/>
      <c r="L18" s="280"/>
      <c r="M18" s="280"/>
      <c r="N18" s="495"/>
    </row>
    <row r="19" spans="1:15" s="254" customFormat="1" ht="152.25" customHeight="1" x14ac:dyDescent="0.2">
      <c r="A19" s="494"/>
      <c r="B19" s="468"/>
      <c r="C19" s="468"/>
      <c r="D19" s="469"/>
      <c r="E19" s="470" t="s">
        <v>649</v>
      </c>
      <c r="F19" s="277" t="s">
        <v>650</v>
      </c>
      <c r="G19" s="472">
        <v>14672816</v>
      </c>
      <c r="H19" s="472">
        <v>12.7</v>
      </c>
      <c r="I19" s="278">
        <v>1277991</v>
      </c>
      <c r="J19" s="474"/>
      <c r="K19" s="280"/>
      <c r="L19" s="280"/>
      <c r="M19" s="280"/>
      <c r="N19" s="281">
        <v>28.5</v>
      </c>
    </row>
    <row r="20" spans="1:15" s="254" customFormat="1" ht="78" customHeight="1" x14ac:dyDescent="0.2">
      <c r="A20" s="494"/>
      <c r="B20" s="468"/>
      <c r="C20" s="468"/>
      <c r="D20" s="469"/>
      <c r="E20" s="476" t="s">
        <v>549</v>
      </c>
      <c r="F20" s="277" t="s">
        <v>743</v>
      </c>
      <c r="G20" s="278">
        <v>5888556</v>
      </c>
      <c r="H20" s="279" t="s">
        <v>651</v>
      </c>
      <c r="I20" s="278">
        <v>214260</v>
      </c>
      <c r="J20" s="280"/>
      <c r="K20" s="280"/>
      <c r="L20" s="280"/>
      <c r="M20" s="280"/>
      <c r="N20" s="281">
        <v>100</v>
      </c>
    </row>
    <row r="21" spans="1:15" s="254" customFormat="1" ht="37.15" customHeight="1" x14ac:dyDescent="0.2">
      <c r="A21" s="257"/>
      <c r="B21" s="257"/>
      <c r="C21" s="257"/>
      <c r="D21" s="258"/>
      <c r="E21" s="259" t="s">
        <v>703</v>
      </c>
      <c r="F21" s="277"/>
      <c r="G21" s="261"/>
      <c r="H21" s="262"/>
      <c r="I21" s="263">
        <f>194500</f>
        <v>194500</v>
      </c>
      <c r="J21" s="265"/>
      <c r="K21" s="265"/>
      <c r="L21" s="265"/>
      <c r="M21" s="265"/>
      <c r="N21" s="265"/>
    </row>
    <row r="22" spans="1:15" ht="59.25" hidden="1" customHeight="1" x14ac:dyDescent="0.2">
      <c r="A22" s="292"/>
      <c r="B22" s="257"/>
      <c r="C22" s="292"/>
      <c r="D22" s="293"/>
      <c r="E22" s="259"/>
      <c r="F22" s="275"/>
      <c r="G22" s="261"/>
      <c r="H22" s="262"/>
      <c r="I22" s="263">
        <v>0</v>
      </c>
      <c r="J22" s="265">
        <v>0</v>
      </c>
      <c r="K22" s="265"/>
      <c r="L22" s="284"/>
      <c r="M22" s="284"/>
      <c r="N22" s="284"/>
    </row>
    <row r="23" spans="1:15" ht="61.5" hidden="1" customHeight="1" x14ac:dyDescent="0.2">
      <c r="A23" s="257" t="s">
        <v>536</v>
      </c>
      <c r="B23" s="257" t="s">
        <v>537</v>
      </c>
      <c r="C23" s="257" t="s">
        <v>116</v>
      </c>
      <c r="D23" s="283" t="s">
        <v>538</v>
      </c>
      <c r="E23" s="259"/>
      <c r="F23" s="276"/>
      <c r="G23" s="261"/>
      <c r="H23" s="261"/>
      <c r="I23" s="261">
        <f>I26+I28+I30+I32+I34+I36</f>
        <v>0</v>
      </c>
      <c r="J23" s="274">
        <v>9000000</v>
      </c>
      <c r="K23" s="265">
        <v>0</v>
      </c>
      <c r="L23" s="265">
        <v>0</v>
      </c>
      <c r="M23" s="265">
        <v>0</v>
      </c>
      <c r="N23" s="300"/>
    </row>
    <row r="24" spans="1:15" ht="61.5" hidden="1" customHeight="1" x14ac:dyDescent="0.2">
      <c r="A24" s="257"/>
      <c r="B24" s="257"/>
      <c r="C24" s="257"/>
      <c r="D24" s="293" t="s">
        <v>539</v>
      </c>
      <c r="E24" s="259"/>
      <c r="F24" s="276"/>
      <c r="G24" s="261"/>
      <c r="H24" s="261"/>
      <c r="I24" s="261">
        <f>I27+I29+I31+I33+I35+I37</f>
        <v>0</v>
      </c>
      <c r="J24" s="274"/>
      <c r="K24" s="265"/>
      <c r="L24" s="265"/>
      <c r="M24" s="265"/>
      <c r="N24" s="300">
        <f>I23-I24</f>
        <v>0</v>
      </c>
      <c r="O24" s="301">
        <f>682500-N24</f>
        <v>682500</v>
      </c>
    </row>
    <row r="25" spans="1:15" ht="23.25" hidden="1" customHeight="1" x14ac:dyDescent="0.2">
      <c r="A25" s="292"/>
      <c r="B25" s="257"/>
      <c r="C25" s="292"/>
      <c r="D25" s="283" t="s">
        <v>535</v>
      </c>
      <c r="E25" s="294"/>
      <c r="F25" s="260"/>
      <c r="G25" s="261"/>
      <c r="H25" s="261"/>
      <c r="I25" s="261"/>
      <c r="J25" s="274"/>
      <c r="K25" s="265"/>
      <c r="L25" s="265"/>
      <c r="M25" s="265"/>
      <c r="N25" s="300"/>
    </row>
    <row r="26" spans="1:15" ht="89.25" hidden="1" customHeight="1" x14ac:dyDescent="0.2">
      <c r="A26" s="292"/>
      <c r="B26" s="257"/>
      <c r="C26" s="292"/>
      <c r="D26" s="293"/>
      <c r="E26" s="302" t="s">
        <v>540</v>
      </c>
      <c r="F26" s="277">
        <v>2019</v>
      </c>
      <c r="G26" s="261"/>
      <c r="H26" s="261"/>
      <c r="I26" s="261"/>
      <c r="J26" s="274"/>
      <c r="K26" s="265"/>
      <c r="L26" s="265"/>
      <c r="M26" s="265"/>
      <c r="N26" s="300"/>
    </row>
    <row r="27" spans="1:15" ht="59.25" hidden="1" customHeight="1" x14ac:dyDescent="0.2">
      <c r="A27" s="292"/>
      <c r="B27" s="257"/>
      <c r="C27" s="292"/>
      <c r="D27" s="293" t="s">
        <v>539</v>
      </c>
      <c r="E27" s="294"/>
      <c r="F27" s="282"/>
      <c r="G27" s="261"/>
      <c r="H27" s="262"/>
      <c r="I27" s="263"/>
      <c r="J27" s="265"/>
      <c r="K27" s="265"/>
      <c r="L27" s="265"/>
      <c r="M27" s="265"/>
      <c r="N27" s="300"/>
    </row>
    <row r="28" spans="1:15" ht="87.75" hidden="1" customHeight="1" x14ac:dyDescent="0.2">
      <c r="A28" s="292"/>
      <c r="B28" s="257"/>
      <c r="C28" s="292"/>
      <c r="D28" s="293"/>
      <c r="E28" s="294" t="s">
        <v>541</v>
      </c>
      <c r="F28" s="277">
        <v>2019</v>
      </c>
      <c r="G28" s="261"/>
      <c r="H28" s="261"/>
      <c r="I28" s="261"/>
      <c r="J28" s="265"/>
      <c r="K28" s="265"/>
      <c r="L28" s="265"/>
      <c r="M28" s="265"/>
      <c r="N28" s="300"/>
    </row>
    <row r="29" spans="1:15" ht="59.25" hidden="1" customHeight="1" x14ac:dyDescent="0.2">
      <c r="A29" s="292"/>
      <c r="B29" s="257"/>
      <c r="C29" s="292"/>
      <c r="D29" s="293" t="s">
        <v>539</v>
      </c>
      <c r="E29" s="294"/>
      <c r="F29" s="282"/>
      <c r="G29" s="261"/>
      <c r="H29" s="262"/>
      <c r="I29" s="263"/>
      <c r="J29" s="265"/>
      <c r="K29" s="265"/>
      <c r="L29" s="265"/>
      <c r="M29" s="265"/>
      <c r="N29" s="300"/>
    </row>
    <row r="30" spans="1:15" ht="59.25" hidden="1" customHeight="1" x14ac:dyDescent="0.2">
      <c r="A30" s="292"/>
      <c r="B30" s="257"/>
      <c r="C30" s="292"/>
      <c r="D30" s="293"/>
      <c r="E30" s="294" t="s">
        <v>542</v>
      </c>
      <c r="F30" s="277">
        <v>2019</v>
      </c>
      <c r="G30" s="261"/>
      <c r="H30" s="261"/>
      <c r="I30" s="261"/>
      <c r="J30" s="265"/>
      <c r="K30" s="265"/>
      <c r="L30" s="265"/>
      <c r="M30" s="265"/>
      <c r="N30" s="300"/>
    </row>
    <row r="31" spans="1:15" ht="59.25" hidden="1" customHeight="1" x14ac:dyDescent="0.2">
      <c r="A31" s="292"/>
      <c r="B31" s="257"/>
      <c r="C31" s="292"/>
      <c r="D31" s="293" t="s">
        <v>539</v>
      </c>
      <c r="E31" s="294"/>
      <c r="F31" s="282"/>
      <c r="G31" s="261"/>
      <c r="H31" s="262"/>
      <c r="I31" s="263"/>
      <c r="J31" s="265"/>
      <c r="K31" s="265"/>
      <c r="L31" s="265"/>
      <c r="M31" s="265"/>
      <c r="N31" s="300"/>
    </row>
    <row r="32" spans="1:15" ht="81" hidden="1" x14ac:dyDescent="0.2">
      <c r="A32" s="292"/>
      <c r="B32" s="257"/>
      <c r="C32" s="292"/>
      <c r="D32" s="293"/>
      <c r="E32" s="294" t="s">
        <v>543</v>
      </c>
      <c r="F32" s="277">
        <v>2019</v>
      </c>
      <c r="G32" s="261"/>
      <c r="H32" s="261"/>
      <c r="I32" s="261"/>
      <c r="J32" s="265"/>
      <c r="K32" s="265"/>
      <c r="L32" s="265"/>
      <c r="M32" s="265"/>
      <c r="N32" s="300"/>
    </row>
    <row r="33" spans="1:14" ht="60.75" hidden="1" x14ac:dyDescent="0.2">
      <c r="A33" s="292"/>
      <c r="B33" s="257"/>
      <c r="C33" s="292"/>
      <c r="D33" s="293" t="s">
        <v>539</v>
      </c>
      <c r="E33" s="294"/>
      <c r="F33" s="273"/>
      <c r="G33" s="261"/>
      <c r="H33" s="262"/>
      <c r="I33" s="263"/>
      <c r="J33" s="265"/>
      <c r="K33" s="265"/>
      <c r="L33" s="265"/>
      <c r="M33" s="265"/>
      <c r="N33" s="300"/>
    </row>
    <row r="34" spans="1:14" ht="81" hidden="1" x14ac:dyDescent="0.2">
      <c r="A34" s="292"/>
      <c r="B34" s="257"/>
      <c r="C34" s="292"/>
      <c r="D34" s="293"/>
      <c r="E34" s="294" t="s">
        <v>544</v>
      </c>
      <c r="F34" s="277">
        <v>2019</v>
      </c>
      <c r="G34" s="261"/>
      <c r="H34" s="261"/>
      <c r="I34" s="261"/>
      <c r="J34" s="265"/>
      <c r="K34" s="265"/>
      <c r="L34" s="265"/>
      <c r="M34" s="265"/>
      <c r="N34" s="300"/>
    </row>
    <row r="35" spans="1:14" ht="60.75" hidden="1" x14ac:dyDescent="0.2">
      <c r="A35" s="292"/>
      <c r="B35" s="257"/>
      <c r="C35" s="292"/>
      <c r="D35" s="293" t="s">
        <v>539</v>
      </c>
      <c r="E35" s="294"/>
      <c r="F35" s="276"/>
      <c r="G35" s="261"/>
      <c r="H35" s="262"/>
      <c r="I35" s="263"/>
      <c r="J35" s="265"/>
      <c r="K35" s="265"/>
      <c r="L35" s="265"/>
      <c r="M35" s="265"/>
      <c r="N35" s="300"/>
    </row>
    <row r="36" spans="1:14" ht="132" hidden="1" customHeight="1" x14ac:dyDescent="0.2">
      <c r="A36" s="292"/>
      <c r="B36" s="257"/>
      <c r="C36" s="292"/>
      <c r="D36" s="293"/>
      <c r="E36" s="294" t="s">
        <v>545</v>
      </c>
      <c r="F36" s="277">
        <v>2019</v>
      </c>
      <c r="G36" s="261"/>
      <c r="H36" s="261"/>
      <c r="I36" s="261"/>
      <c r="J36" s="265"/>
      <c r="K36" s="265"/>
      <c r="L36" s="265"/>
      <c r="M36" s="265"/>
      <c r="N36" s="300"/>
    </row>
    <row r="37" spans="1:14" ht="59.25" hidden="1" customHeight="1" x14ac:dyDescent="0.2">
      <c r="A37" s="292"/>
      <c r="B37" s="257"/>
      <c r="C37" s="292"/>
      <c r="D37" s="293" t="s">
        <v>539</v>
      </c>
      <c r="E37" s="294"/>
      <c r="F37" s="260"/>
      <c r="G37" s="261"/>
      <c r="H37" s="261"/>
      <c r="I37" s="261"/>
      <c r="J37" s="265"/>
      <c r="K37" s="265"/>
      <c r="L37" s="265"/>
      <c r="M37" s="265"/>
      <c r="N37" s="300"/>
    </row>
    <row r="38" spans="1:14" ht="67.150000000000006" customHeight="1" x14ac:dyDescent="0.2">
      <c r="A38" s="257" t="s">
        <v>546</v>
      </c>
      <c r="B38" s="257" t="s">
        <v>547</v>
      </c>
      <c r="C38" s="257" t="s">
        <v>116</v>
      </c>
      <c r="D38" s="283" t="s">
        <v>548</v>
      </c>
      <c r="E38" s="259"/>
      <c r="F38" s="260"/>
      <c r="G38" s="261">
        <f>G40</f>
        <v>0</v>
      </c>
      <c r="H38" s="261"/>
      <c r="I38" s="261">
        <f>I40+I41</f>
        <v>0</v>
      </c>
      <c r="J38" s="274">
        <v>1000000</v>
      </c>
      <c r="K38" s="265">
        <v>0</v>
      </c>
      <c r="L38" s="265">
        <v>0</v>
      </c>
      <c r="M38" s="295">
        <v>0</v>
      </c>
      <c r="N38" s="300"/>
    </row>
    <row r="39" spans="1:14" ht="20.25" x14ac:dyDescent="0.2">
      <c r="A39" s="292"/>
      <c r="B39" s="257"/>
      <c r="C39" s="292"/>
      <c r="D39" s="283" t="s">
        <v>535</v>
      </c>
      <c r="E39" s="294"/>
      <c r="F39" s="260"/>
      <c r="G39" s="261"/>
      <c r="H39" s="262"/>
      <c r="I39" s="263"/>
      <c r="J39" s="274"/>
      <c r="K39" s="265"/>
      <c r="L39" s="265"/>
      <c r="M39" s="265"/>
      <c r="N39" s="300"/>
    </row>
    <row r="40" spans="1:14" ht="87.95" customHeight="1" thickBot="1" x14ac:dyDescent="0.25">
      <c r="A40" s="292"/>
      <c r="B40" s="257"/>
      <c r="C40" s="292"/>
      <c r="D40" s="293"/>
      <c r="E40" s="303" t="s">
        <v>702</v>
      </c>
      <c r="F40" s="276"/>
      <c r="G40" s="261"/>
      <c r="H40" s="262"/>
      <c r="I40" s="263">
        <f>2000000-539696-236673-175000-1048631</f>
        <v>0</v>
      </c>
      <c r="J40" s="274">
        <v>1000000</v>
      </c>
      <c r="K40" s="265"/>
      <c r="L40" s="265">
        <v>0</v>
      </c>
      <c r="M40" s="265"/>
      <c r="N40" s="300"/>
    </row>
    <row r="41" spans="1:14" ht="66.75" hidden="1" customHeight="1" x14ac:dyDescent="0.2">
      <c r="A41" s="292"/>
      <c r="B41" s="257"/>
      <c r="C41" s="292"/>
      <c r="D41" s="293"/>
      <c r="E41" s="267"/>
      <c r="F41" s="273"/>
      <c r="G41" s="269"/>
      <c r="H41" s="270"/>
      <c r="I41" s="263"/>
      <c r="J41" s="264"/>
      <c r="K41" s="265"/>
      <c r="L41" s="265"/>
      <c r="M41" s="265"/>
      <c r="N41" s="300"/>
    </row>
    <row r="42" spans="1:14" ht="93" hidden="1" customHeight="1" x14ac:dyDescent="0.2">
      <c r="A42" s="304"/>
      <c r="B42" s="305"/>
      <c r="C42" s="305"/>
      <c r="D42" s="294" t="s">
        <v>550</v>
      </c>
      <c r="E42" s="181"/>
      <c r="F42" s="276"/>
      <c r="G42" s="261"/>
      <c r="H42" s="262"/>
      <c r="I42" s="263"/>
      <c r="J42" s="265"/>
      <c r="K42" s="265"/>
      <c r="L42" s="265"/>
      <c r="M42" s="265"/>
      <c r="N42" s="300"/>
    </row>
    <row r="43" spans="1:14" ht="21" hidden="1" customHeight="1" x14ac:dyDescent="0.2">
      <c r="A43" s="292"/>
      <c r="B43" s="257"/>
      <c r="C43" s="292"/>
      <c r="D43" s="283"/>
      <c r="E43" s="294"/>
      <c r="F43" s="306"/>
      <c r="G43" s="261"/>
      <c r="H43" s="262"/>
      <c r="I43" s="263"/>
      <c r="J43" s="265"/>
      <c r="K43" s="265"/>
      <c r="L43" s="265"/>
      <c r="M43" s="265"/>
      <c r="N43" s="300"/>
    </row>
    <row r="44" spans="1:14" ht="21" thickBot="1" x14ac:dyDescent="0.25">
      <c r="A44" s="307"/>
      <c r="B44" s="307"/>
      <c r="C44" s="307"/>
      <c r="D44" s="308"/>
      <c r="E44" s="308"/>
      <c r="F44" s="286"/>
      <c r="G44" s="269"/>
      <c r="H44" s="270"/>
      <c r="I44" s="309"/>
      <c r="J44" s="272"/>
      <c r="K44" s="272"/>
      <c r="L44" s="272"/>
      <c r="M44" s="272"/>
      <c r="N44" s="310"/>
    </row>
    <row r="45" spans="1:14" ht="20.25" x14ac:dyDescent="0.2">
      <c r="A45" s="311" t="s">
        <v>141</v>
      </c>
      <c r="B45" s="312"/>
      <c r="C45" s="312"/>
      <c r="D45" s="313" t="s">
        <v>551</v>
      </c>
      <c r="E45" s="314"/>
      <c r="F45" s="315"/>
      <c r="G45" s="316"/>
      <c r="H45" s="317"/>
      <c r="I45" s="318">
        <f>I46</f>
        <v>683081</v>
      </c>
      <c r="J45" s="319"/>
      <c r="K45" s="319"/>
      <c r="L45" s="319"/>
      <c r="M45" s="319"/>
      <c r="N45" s="320"/>
    </row>
    <row r="46" spans="1:14" ht="21" thickBot="1" x14ac:dyDescent="0.25">
      <c r="A46" s="321" t="s">
        <v>435</v>
      </c>
      <c r="B46" s="322"/>
      <c r="C46" s="322"/>
      <c r="D46" s="323" t="s">
        <v>551</v>
      </c>
      <c r="E46" s="324"/>
      <c r="F46" s="325"/>
      <c r="G46" s="326"/>
      <c r="H46" s="327"/>
      <c r="I46" s="328">
        <f>I48+I52</f>
        <v>683081</v>
      </c>
      <c r="J46" s="329"/>
      <c r="K46" s="329"/>
      <c r="L46" s="329"/>
      <c r="M46" s="329"/>
      <c r="N46" s="330"/>
    </row>
    <row r="47" spans="1:14" ht="20.25" x14ac:dyDescent="0.2">
      <c r="A47" s="287"/>
      <c r="B47" s="288"/>
      <c r="C47" s="287"/>
      <c r="D47" s="289"/>
      <c r="E47" s="289"/>
      <c r="F47" s="331"/>
      <c r="G47" s="290"/>
      <c r="H47" s="291"/>
      <c r="I47" s="255"/>
      <c r="J47" s="256"/>
      <c r="K47" s="256"/>
      <c r="L47" s="256"/>
      <c r="M47" s="256"/>
      <c r="N47" s="332"/>
    </row>
    <row r="48" spans="1:14" ht="41.25" customHeight="1" x14ac:dyDescent="0.2">
      <c r="A48" s="304" t="s">
        <v>552</v>
      </c>
      <c r="B48" s="305" t="s">
        <v>553</v>
      </c>
      <c r="C48" s="305" t="s">
        <v>172</v>
      </c>
      <c r="D48" s="333" t="s">
        <v>554</v>
      </c>
      <c r="E48" s="181"/>
      <c r="F48" s="276"/>
      <c r="G48" s="261"/>
      <c r="H48" s="262"/>
      <c r="I48" s="263">
        <f>I50+I51</f>
        <v>683081</v>
      </c>
      <c r="J48" s="265">
        <v>0</v>
      </c>
      <c r="K48" s="265"/>
      <c r="L48" s="265">
        <v>0</v>
      </c>
      <c r="M48" s="265">
        <v>0</v>
      </c>
      <c r="N48" s="300"/>
    </row>
    <row r="49" spans="1:14" ht="30.75" customHeight="1" x14ac:dyDescent="0.2">
      <c r="A49" s="292"/>
      <c r="B49" s="257"/>
      <c r="C49" s="292"/>
      <c r="D49" s="283" t="s">
        <v>535</v>
      </c>
      <c r="E49" s="294"/>
      <c r="F49" s="306"/>
      <c r="G49" s="261"/>
      <c r="H49" s="262"/>
      <c r="I49" s="263"/>
      <c r="J49" s="265"/>
      <c r="K49" s="265"/>
      <c r="L49" s="265"/>
      <c r="M49" s="265"/>
      <c r="N49" s="300"/>
    </row>
    <row r="50" spans="1:14" ht="89.25" customHeight="1" x14ac:dyDescent="0.2">
      <c r="A50" s="292"/>
      <c r="B50" s="257"/>
      <c r="C50" s="292"/>
      <c r="D50" s="294"/>
      <c r="E50" s="294" t="s">
        <v>967</v>
      </c>
      <c r="F50" s="273" t="s">
        <v>968</v>
      </c>
      <c r="G50" s="263">
        <f>98420+250000+137580</f>
        <v>486000</v>
      </c>
      <c r="H50" s="262">
        <v>0</v>
      </c>
      <c r="I50" s="263">
        <f>98420+250000+137580</f>
        <v>486000</v>
      </c>
      <c r="J50" s="265"/>
      <c r="K50" s="265"/>
      <c r="L50" s="265"/>
      <c r="M50" s="265"/>
      <c r="N50" s="300"/>
    </row>
    <row r="51" spans="1:14" ht="95.25" customHeight="1" thickBot="1" x14ac:dyDescent="0.25">
      <c r="A51" s="292"/>
      <c r="B51" s="257"/>
      <c r="C51" s="292"/>
      <c r="D51" s="294"/>
      <c r="E51" s="294" t="s">
        <v>969</v>
      </c>
      <c r="F51" s="273" t="s">
        <v>968</v>
      </c>
      <c r="G51" s="263">
        <v>197081</v>
      </c>
      <c r="H51" s="262"/>
      <c r="I51" s="263">
        <v>197081</v>
      </c>
      <c r="J51" s="265"/>
      <c r="K51" s="265"/>
      <c r="L51" s="265"/>
      <c r="M51" s="265"/>
      <c r="N51" s="300"/>
    </row>
    <row r="52" spans="1:14" ht="60.75" hidden="1" x14ac:dyDescent="0.2">
      <c r="A52" s="292" t="s">
        <v>556</v>
      </c>
      <c r="B52" s="292" t="s">
        <v>547</v>
      </c>
      <c r="C52" s="292" t="s">
        <v>116</v>
      </c>
      <c r="D52" s="294" t="s">
        <v>557</v>
      </c>
      <c r="E52" s="294"/>
      <c r="F52" s="334"/>
      <c r="G52" s="261"/>
      <c r="H52" s="262"/>
      <c r="I52" s="263">
        <f>I54</f>
        <v>0</v>
      </c>
      <c r="J52" s="265">
        <v>0</v>
      </c>
      <c r="K52" s="265"/>
      <c r="L52" s="265">
        <v>0</v>
      </c>
      <c r="M52" s="265">
        <v>0</v>
      </c>
      <c r="N52" s="300"/>
    </row>
    <row r="53" spans="1:14" ht="20.25" hidden="1" x14ac:dyDescent="0.2">
      <c r="A53" s="292"/>
      <c r="B53" s="257"/>
      <c r="C53" s="292"/>
      <c r="D53" s="283" t="s">
        <v>535</v>
      </c>
      <c r="E53" s="294"/>
      <c r="F53" s="273"/>
      <c r="G53" s="261"/>
      <c r="H53" s="262"/>
      <c r="I53" s="263"/>
      <c r="J53" s="265"/>
      <c r="K53" s="265"/>
      <c r="L53" s="265"/>
      <c r="M53" s="265"/>
      <c r="N53" s="300"/>
    </row>
    <row r="54" spans="1:14" ht="130.5" hidden="1" customHeight="1" x14ac:dyDescent="0.2">
      <c r="A54" s="292"/>
      <c r="B54" s="257"/>
      <c r="C54" s="292"/>
      <c r="D54" s="294"/>
      <c r="E54" s="294" t="s">
        <v>558</v>
      </c>
      <c r="F54" s="273">
        <v>2019</v>
      </c>
      <c r="G54" s="335"/>
      <c r="H54" s="336"/>
      <c r="I54" s="263"/>
      <c r="J54" s="265"/>
      <c r="K54" s="265"/>
      <c r="L54" s="265"/>
      <c r="M54" s="265"/>
      <c r="N54" s="300"/>
    </row>
    <row r="55" spans="1:14" ht="101.25" hidden="1" x14ac:dyDescent="0.2">
      <c r="A55" s="292"/>
      <c r="B55" s="257"/>
      <c r="C55" s="292"/>
      <c r="D55" s="294" t="s">
        <v>559</v>
      </c>
      <c r="E55" s="294"/>
      <c r="F55" s="276"/>
      <c r="G55" s="261"/>
      <c r="H55" s="262"/>
      <c r="I55" s="263"/>
      <c r="J55" s="265"/>
      <c r="K55" s="265"/>
      <c r="L55" s="265"/>
      <c r="M55" s="265"/>
      <c r="N55" s="300"/>
    </row>
    <row r="56" spans="1:14" ht="20.25" hidden="1" x14ac:dyDescent="0.2">
      <c r="A56" s="292"/>
      <c r="B56" s="257"/>
      <c r="C56" s="292"/>
      <c r="D56" s="293"/>
      <c r="E56" s="294"/>
      <c r="F56" s="260"/>
      <c r="G56" s="263"/>
      <c r="H56" s="263"/>
      <c r="I56" s="263">
        <v>0</v>
      </c>
      <c r="J56" s="265">
        <v>0</v>
      </c>
      <c r="K56" s="265">
        <v>0</v>
      </c>
      <c r="L56" s="265">
        <v>0</v>
      </c>
      <c r="M56" s="265"/>
      <c r="N56" s="300"/>
    </row>
    <row r="57" spans="1:14" ht="59.25" hidden="1" customHeight="1" x14ac:dyDescent="0.2">
      <c r="A57" s="292"/>
      <c r="B57" s="257"/>
      <c r="C57" s="292"/>
      <c r="D57" s="293"/>
      <c r="E57" s="294"/>
      <c r="F57" s="260"/>
      <c r="G57" s="263"/>
      <c r="H57" s="263"/>
      <c r="I57" s="263">
        <v>0</v>
      </c>
      <c r="J57" s="265">
        <v>0</v>
      </c>
      <c r="K57" s="265">
        <v>0</v>
      </c>
      <c r="L57" s="265">
        <v>0</v>
      </c>
      <c r="M57" s="265"/>
      <c r="N57" s="300"/>
    </row>
    <row r="58" spans="1:14" ht="59.25" hidden="1" customHeight="1" x14ac:dyDescent="0.2">
      <c r="A58" s="292"/>
      <c r="B58" s="257"/>
      <c r="C58" s="292"/>
      <c r="D58" s="293"/>
      <c r="E58" s="294"/>
      <c r="F58" s="260"/>
      <c r="G58" s="261"/>
      <c r="H58" s="262"/>
      <c r="I58" s="263">
        <v>0</v>
      </c>
      <c r="J58" s="265"/>
      <c r="K58" s="265"/>
      <c r="L58" s="265">
        <v>0</v>
      </c>
      <c r="M58" s="265"/>
      <c r="N58" s="300"/>
    </row>
    <row r="59" spans="1:14" ht="59.25" hidden="1" customHeight="1" x14ac:dyDescent="0.2">
      <c r="A59" s="292"/>
      <c r="B59" s="257"/>
      <c r="C59" s="292"/>
      <c r="D59" s="293"/>
      <c r="E59" s="294"/>
      <c r="F59" s="260"/>
      <c r="G59" s="261"/>
      <c r="H59" s="262"/>
      <c r="I59" s="263">
        <v>0</v>
      </c>
      <c r="J59" s="265"/>
      <c r="K59" s="265"/>
      <c r="L59" s="265">
        <v>0</v>
      </c>
      <c r="M59" s="265"/>
      <c r="N59" s="300"/>
    </row>
    <row r="60" spans="1:14" ht="20.25" hidden="1" x14ac:dyDescent="0.2">
      <c r="A60" s="337" t="s">
        <v>161</v>
      </c>
      <c r="B60" s="337"/>
      <c r="C60" s="337"/>
      <c r="D60" s="338" t="s">
        <v>560</v>
      </c>
      <c r="E60" s="294"/>
      <c r="F60" s="260"/>
      <c r="G60" s="261"/>
      <c r="H60" s="262"/>
      <c r="I60" s="339">
        <f>I61</f>
        <v>0</v>
      </c>
      <c r="J60" s="265">
        <v>0</v>
      </c>
      <c r="K60" s="265">
        <v>0</v>
      </c>
      <c r="L60" s="265">
        <v>0</v>
      </c>
      <c r="M60" s="265"/>
      <c r="N60" s="300"/>
    </row>
    <row r="61" spans="1:14" ht="20.25" hidden="1" x14ac:dyDescent="0.2">
      <c r="A61" s="337" t="s">
        <v>459</v>
      </c>
      <c r="B61" s="337"/>
      <c r="C61" s="337"/>
      <c r="D61" s="338" t="s">
        <v>560</v>
      </c>
      <c r="E61" s="294"/>
      <c r="F61" s="260"/>
      <c r="G61" s="261"/>
      <c r="H61" s="262"/>
      <c r="I61" s="339">
        <f>I62</f>
        <v>0</v>
      </c>
      <c r="J61" s="265">
        <v>0</v>
      </c>
      <c r="K61" s="265">
        <v>0</v>
      </c>
      <c r="L61" s="265">
        <v>0</v>
      </c>
      <c r="M61" s="265"/>
      <c r="N61" s="300"/>
    </row>
    <row r="62" spans="1:14" ht="59.25" hidden="1" customHeight="1" x14ac:dyDescent="0.2">
      <c r="A62" s="292" t="s">
        <v>561</v>
      </c>
      <c r="B62" s="257" t="s">
        <v>562</v>
      </c>
      <c r="C62" s="292" t="s">
        <v>172</v>
      </c>
      <c r="D62" s="293" t="s">
        <v>563</v>
      </c>
      <c r="E62" s="294"/>
      <c r="F62" s="260"/>
      <c r="G62" s="261"/>
      <c r="H62" s="262"/>
      <c r="I62" s="263">
        <f>I64</f>
        <v>0</v>
      </c>
      <c r="J62" s="265">
        <v>0</v>
      </c>
      <c r="K62" s="265"/>
      <c r="L62" s="265">
        <v>0</v>
      </c>
      <c r="M62" s="265"/>
      <c r="N62" s="300"/>
    </row>
    <row r="63" spans="1:14" ht="20.25" hidden="1" x14ac:dyDescent="0.2">
      <c r="A63" s="292"/>
      <c r="B63" s="257"/>
      <c r="C63" s="292"/>
      <c r="D63" s="283" t="s">
        <v>535</v>
      </c>
      <c r="E63" s="294"/>
      <c r="F63" s="260"/>
      <c r="G63" s="261"/>
      <c r="H63" s="262"/>
      <c r="I63" s="263">
        <v>0</v>
      </c>
      <c r="J63" s="265">
        <v>0</v>
      </c>
      <c r="K63" s="265">
        <v>0</v>
      </c>
      <c r="L63" s="265">
        <v>0</v>
      </c>
      <c r="M63" s="265"/>
      <c r="N63" s="300"/>
    </row>
    <row r="64" spans="1:14" ht="101.25" hidden="1" x14ac:dyDescent="0.2">
      <c r="A64" s="292"/>
      <c r="B64" s="257"/>
      <c r="C64" s="292"/>
      <c r="D64" s="293"/>
      <c r="E64" s="294" t="s">
        <v>564</v>
      </c>
      <c r="F64" s="306" t="s">
        <v>555</v>
      </c>
      <c r="G64" s="261">
        <v>1625603</v>
      </c>
      <c r="H64" s="262"/>
      <c r="I64" s="263"/>
      <c r="J64" s="265">
        <v>0</v>
      </c>
      <c r="K64" s="265">
        <v>0</v>
      </c>
      <c r="L64" s="265">
        <v>0</v>
      </c>
      <c r="M64" s="265"/>
      <c r="N64" s="300">
        <v>100</v>
      </c>
    </row>
    <row r="65" spans="1:14" ht="59.25" hidden="1" customHeight="1" x14ac:dyDescent="0.2">
      <c r="A65" s="292"/>
      <c r="B65" s="257"/>
      <c r="C65" s="292"/>
      <c r="D65" s="293"/>
      <c r="E65" s="294"/>
      <c r="F65" s="275"/>
      <c r="G65" s="340"/>
      <c r="H65" s="341"/>
      <c r="I65" s="342">
        <v>0</v>
      </c>
      <c r="J65" s="260">
        <v>0</v>
      </c>
      <c r="K65" s="260"/>
      <c r="L65" s="349"/>
      <c r="M65" s="349"/>
      <c r="N65" s="350"/>
    </row>
    <row r="66" spans="1:14" s="296" customFormat="1" ht="59.25" hidden="1" customHeight="1" x14ac:dyDescent="0.2">
      <c r="A66" s="297"/>
      <c r="B66" s="257"/>
      <c r="C66" s="297"/>
      <c r="D66" s="298"/>
      <c r="E66" s="299"/>
      <c r="F66" s="345"/>
      <c r="G66" s="343"/>
      <c r="H66" s="346"/>
      <c r="I66" s="342">
        <v>0</v>
      </c>
      <c r="J66" s="260">
        <v>0</v>
      </c>
      <c r="K66" s="344">
        <v>0</v>
      </c>
      <c r="L66" s="347"/>
      <c r="M66" s="347"/>
      <c r="N66" s="348"/>
    </row>
    <row r="67" spans="1:14" ht="59.25" hidden="1" customHeight="1" thickBot="1" x14ac:dyDescent="0.25">
      <c r="A67" s="266"/>
      <c r="B67" s="266"/>
      <c r="C67" s="266"/>
      <c r="D67" s="285"/>
      <c r="E67" s="267"/>
      <c r="F67" s="268"/>
      <c r="G67" s="351"/>
      <c r="H67" s="352"/>
      <c r="I67" s="352"/>
      <c r="J67" s="271"/>
      <c r="K67" s="271"/>
      <c r="L67" s="353"/>
      <c r="M67" s="353"/>
      <c r="N67" s="354"/>
    </row>
    <row r="68" spans="1:14" s="366" customFormat="1" ht="33" customHeight="1" thickBot="1" x14ac:dyDescent="0.25">
      <c r="A68" s="355" t="s">
        <v>345</v>
      </c>
      <c r="B68" s="355" t="s">
        <v>345</v>
      </c>
      <c r="C68" s="355" t="s">
        <v>345</v>
      </c>
      <c r="D68" s="356" t="s">
        <v>10</v>
      </c>
      <c r="E68" s="357" t="s">
        <v>345</v>
      </c>
      <c r="F68" s="358" t="s">
        <v>345</v>
      </c>
      <c r="G68" s="359" t="s">
        <v>345</v>
      </c>
      <c r="H68" s="359" t="s">
        <v>495</v>
      </c>
      <c r="I68" s="360">
        <f>I11</f>
        <v>1896751</v>
      </c>
      <c r="J68" s="361">
        <v>28362700</v>
      </c>
      <c r="K68" s="362">
        <v>0</v>
      </c>
      <c r="L68" s="363">
        <v>0</v>
      </c>
      <c r="M68" s="364">
        <v>0</v>
      </c>
      <c r="N68" s="365" t="s">
        <v>345</v>
      </c>
    </row>
    <row r="69" spans="1:14" ht="18.75" x14ac:dyDescent="0.2">
      <c r="F69" s="367"/>
      <c r="G69" s="367"/>
      <c r="H69" s="367"/>
      <c r="I69" s="367"/>
      <c r="J69" s="367"/>
      <c r="K69" s="367"/>
      <c r="L69" s="367"/>
      <c r="M69" s="368"/>
      <c r="N69" s="368"/>
    </row>
    <row r="70" spans="1:14" ht="18.75" x14ac:dyDescent="0.2">
      <c r="D70" s="856"/>
      <c r="E70" s="857"/>
      <c r="F70" s="857"/>
      <c r="G70" s="857"/>
      <c r="H70" s="369"/>
      <c r="I70" s="367"/>
      <c r="J70" s="367"/>
      <c r="K70" s="367"/>
      <c r="L70" s="367"/>
      <c r="M70" s="368"/>
      <c r="N70" s="368"/>
    </row>
    <row r="71" spans="1:14" ht="18.75" x14ac:dyDescent="0.2">
      <c r="C71" s="515"/>
      <c r="D71" s="516" t="s">
        <v>664</v>
      </c>
      <c r="E71" s="516"/>
      <c r="F71" s="367"/>
      <c r="G71" s="367"/>
      <c r="H71" s="367"/>
      <c r="I71" s="367" t="s">
        <v>663</v>
      </c>
      <c r="J71" s="367"/>
      <c r="K71" s="367"/>
      <c r="L71" s="367"/>
      <c r="M71" s="368"/>
      <c r="N71" s="368"/>
    </row>
    <row r="72" spans="1:14" ht="18.75" x14ac:dyDescent="0.2">
      <c r="F72" s="367"/>
      <c r="G72" s="367"/>
      <c r="H72" s="367"/>
      <c r="I72" s="367"/>
      <c r="J72" s="367"/>
      <c r="K72" s="367"/>
      <c r="L72" s="367"/>
      <c r="M72" s="368"/>
      <c r="N72" s="368"/>
    </row>
    <row r="73" spans="1:14" ht="18.75" x14ac:dyDescent="0.2">
      <c r="F73" s="367"/>
      <c r="G73" s="367"/>
      <c r="H73" s="367"/>
      <c r="I73" s="367"/>
      <c r="J73" s="367"/>
      <c r="K73" s="367"/>
      <c r="L73" s="367"/>
      <c r="M73" s="368"/>
      <c r="N73" s="368"/>
    </row>
    <row r="74" spans="1:14" ht="18.75" x14ac:dyDescent="0.2">
      <c r="F74" s="367"/>
      <c r="G74" s="367"/>
      <c r="H74" s="367"/>
      <c r="I74" s="367"/>
      <c r="J74" s="367"/>
      <c r="K74" s="367"/>
      <c r="L74" s="367"/>
      <c r="M74" s="368"/>
      <c r="N74" s="368"/>
    </row>
    <row r="75" spans="1:14" ht="18.75" x14ac:dyDescent="0.2">
      <c r="F75" s="367"/>
      <c r="G75" s="367"/>
      <c r="H75" s="367"/>
      <c r="I75" s="367"/>
      <c r="J75" s="367"/>
      <c r="K75" s="367"/>
      <c r="L75" s="367"/>
      <c r="M75" s="368"/>
      <c r="N75" s="368"/>
    </row>
    <row r="76" spans="1:14" ht="18.75" x14ac:dyDescent="0.2">
      <c r="F76" s="367"/>
      <c r="G76" s="367"/>
      <c r="H76" s="367"/>
      <c r="I76" s="367"/>
      <c r="J76" s="367"/>
      <c r="K76" s="367"/>
      <c r="L76" s="367"/>
      <c r="M76" s="368"/>
      <c r="N76" s="368"/>
    </row>
    <row r="77" spans="1:14" ht="18.75" x14ac:dyDescent="0.2">
      <c r="F77" s="367"/>
      <c r="G77" s="367"/>
      <c r="H77" s="367"/>
      <c r="I77" s="367"/>
      <c r="J77" s="367"/>
      <c r="K77" s="367"/>
      <c r="L77" s="367"/>
      <c r="M77" s="368"/>
      <c r="N77" s="368"/>
    </row>
    <row r="78" spans="1:14" ht="18.75" x14ac:dyDescent="0.2">
      <c r="F78" s="367"/>
      <c r="G78" s="367"/>
      <c r="H78" s="367"/>
      <c r="I78" s="367"/>
      <c r="J78" s="367"/>
      <c r="K78" s="367"/>
      <c r="L78" s="367"/>
      <c r="M78" s="368"/>
      <c r="N78" s="368"/>
    </row>
    <row r="79" spans="1:14" ht="18.75" x14ac:dyDescent="0.2">
      <c r="F79" s="367"/>
      <c r="G79" s="367"/>
      <c r="H79" s="367"/>
      <c r="I79" s="367"/>
      <c r="J79" s="367"/>
      <c r="K79" s="367"/>
      <c r="L79" s="367"/>
      <c r="M79" s="368"/>
      <c r="N79" s="368"/>
    </row>
    <row r="80" spans="1:14" ht="18.75" x14ac:dyDescent="0.2">
      <c r="F80" s="367"/>
      <c r="G80" s="367"/>
      <c r="H80" s="367"/>
      <c r="I80" s="367"/>
      <c r="J80" s="367"/>
      <c r="K80" s="367"/>
      <c r="L80" s="367"/>
      <c r="M80" s="368"/>
      <c r="N80" s="368"/>
    </row>
    <row r="81" spans="2:14" ht="18.75" x14ac:dyDescent="0.2">
      <c r="B81" s="238"/>
      <c r="C81" s="238"/>
      <c r="D81" s="238"/>
      <c r="E81" s="238"/>
      <c r="F81" s="367"/>
      <c r="G81" s="367"/>
      <c r="H81" s="367"/>
      <c r="I81" s="367"/>
      <c r="J81" s="367"/>
      <c r="K81" s="367"/>
      <c r="L81" s="367"/>
      <c r="M81" s="368"/>
      <c r="N81" s="368"/>
    </row>
    <row r="82" spans="2:14" ht="18.75" x14ac:dyDescent="0.2">
      <c r="B82" s="238"/>
      <c r="C82" s="238"/>
      <c r="D82" s="238"/>
      <c r="E82" s="238"/>
      <c r="F82" s="367"/>
      <c r="G82" s="367"/>
      <c r="H82" s="367"/>
      <c r="I82" s="367"/>
      <c r="J82" s="367"/>
      <c r="K82" s="367"/>
      <c r="L82" s="367"/>
      <c r="M82" s="368"/>
      <c r="N82" s="368"/>
    </row>
    <row r="83" spans="2:14" ht="18.75" x14ac:dyDescent="0.2">
      <c r="B83" s="238"/>
      <c r="C83" s="238"/>
      <c r="D83" s="238"/>
      <c r="E83" s="238"/>
      <c r="F83" s="367"/>
      <c r="G83" s="367"/>
      <c r="H83" s="367"/>
      <c r="I83" s="367"/>
      <c r="J83" s="367"/>
      <c r="K83" s="367"/>
      <c r="L83" s="367"/>
      <c r="M83" s="368"/>
      <c r="N83" s="368"/>
    </row>
    <row r="84" spans="2:14" ht="18.75" x14ac:dyDescent="0.2">
      <c r="B84" s="238"/>
      <c r="C84" s="238"/>
      <c r="D84" s="238"/>
      <c r="E84" s="238"/>
      <c r="F84" s="367"/>
      <c r="G84" s="367"/>
      <c r="H84" s="367"/>
      <c r="I84" s="367"/>
      <c r="J84" s="367"/>
      <c r="K84" s="367"/>
      <c r="L84" s="367"/>
      <c r="M84" s="368"/>
      <c r="N84" s="368"/>
    </row>
    <row r="85" spans="2:14" ht="18.75" x14ac:dyDescent="0.2">
      <c r="B85" s="238"/>
      <c r="C85" s="238"/>
      <c r="D85" s="238"/>
      <c r="E85" s="238"/>
      <c r="F85" s="367"/>
      <c r="G85" s="367"/>
      <c r="H85" s="367"/>
      <c r="I85" s="367"/>
      <c r="J85" s="367"/>
      <c r="K85" s="367"/>
      <c r="L85" s="367"/>
      <c r="M85" s="368"/>
      <c r="N85" s="368"/>
    </row>
    <row r="86" spans="2:14" ht="18.75" x14ac:dyDescent="0.2">
      <c r="B86" s="238"/>
      <c r="C86" s="238"/>
      <c r="D86" s="238"/>
      <c r="E86" s="238"/>
      <c r="F86" s="367"/>
      <c r="G86" s="367"/>
      <c r="H86" s="367"/>
      <c r="I86" s="367"/>
      <c r="J86" s="367"/>
      <c r="K86" s="367"/>
      <c r="L86" s="367"/>
      <c r="M86" s="368"/>
      <c r="N86" s="368"/>
    </row>
    <row r="87" spans="2:14" ht="18.75" x14ac:dyDescent="0.2">
      <c r="B87" s="238"/>
      <c r="C87" s="238"/>
      <c r="D87" s="238"/>
      <c r="E87" s="238"/>
      <c r="F87" s="367"/>
      <c r="G87" s="367"/>
      <c r="H87" s="367"/>
      <c r="I87" s="367"/>
      <c r="J87" s="367"/>
      <c r="K87" s="367"/>
      <c r="L87" s="367"/>
      <c r="M87" s="368"/>
      <c r="N87" s="368"/>
    </row>
    <row r="88" spans="2:14" ht="18.75" x14ac:dyDescent="0.2">
      <c r="B88" s="238"/>
      <c r="C88" s="238"/>
      <c r="D88" s="238"/>
      <c r="E88" s="238"/>
      <c r="F88" s="367"/>
      <c r="G88" s="367"/>
      <c r="H88" s="367"/>
      <c r="I88" s="367"/>
      <c r="J88" s="367"/>
      <c r="K88" s="367"/>
      <c r="L88" s="367"/>
      <c r="M88" s="368"/>
      <c r="N88" s="368"/>
    </row>
    <row r="89" spans="2:14" ht="18.75" x14ac:dyDescent="0.2">
      <c r="B89" s="238"/>
      <c r="C89" s="238"/>
      <c r="D89" s="238"/>
      <c r="E89" s="238"/>
      <c r="F89" s="367"/>
      <c r="G89" s="367"/>
      <c r="H89" s="367"/>
      <c r="I89" s="367"/>
      <c r="J89" s="367"/>
      <c r="K89" s="367"/>
      <c r="L89" s="367"/>
      <c r="M89" s="368"/>
      <c r="N89" s="368"/>
    </row>
    <row r="90" spans="2:14" ht="18.75" x14ac:dyDescent="0.2">
      <c r="B90" s="238"/>
      <c r="C90" s="238"/>
      <c r="D90" s="238"/>
      <c r="E90" s="238"/>
      <c r="F90" s="367"/>
      <c r="G90" s="367"/>
      <c r="H90" s="367"/>
      <c r="I90" s="367"/>
      <c r="J90" s="367"/>
      <c r="K90" s="367"/>
      <c r="L90" s="367"/>
      <c r="M90" s="368"/>
      <c r="N90" s="368"/>
    </row>
    <row r="91" spans="2:14" ht="18.75" x14ac:dyDescent="0.2">
      <c r="B91" s="238"/>
      <c r="C91" s="238"/>
      <c r="D91" s="238"/>
      <c r="E91" s="238"/>
      <c r="F91" s="367"/>
      <c r="G91" s="367"/>
      <c r="H91" s="367"/>
      <c r="I91" s="367"/>
      <c r="J91" s="367"/>
      <c r="K91" s="367"/>
      <c r="L91" s="367"/>
      <c r="M91" s="368"/>
      <c r="N91" s="368"/>
    </row>
    <row r="92" spans="2:14" ht="18.75" x14ac:dyDescent="0.2">
      <c r="B92" s="238"/>
      <c r="C92" s="238"/>
      <c r="D92" s="238"/>
      <c r="E92" s="238"/>
      <c r="F92" s="367"/>
      <c r="G92" s="367"/>
      <c r="H92" s="367"/>
      <c r="I92" s="367"/>
      <c r="J92" s="367"/>
      <c r="K92" s="367"/>
      <c r="L92" s="367"/>
      <c r="M92" s="368"/>
      <c r="N92" s="368"/>
    </row>
    <row r="93" spans="2:14" ht="18.75" x14ac:dyDescent="0.2">
      <c r="B93" s="238"/>
      <c r="C93" s="238"/>
      <c r="D93" s="238"/>
      <c r="E93" s="238"/>
      <c r="F93" s="367"/>
      <c r="G93" s="367"/>
      <c r="H93" s="367"/>
      <c r="I93" s="367"/>
      <c r="J93" s="367"/>
      <c r="K93" s="367"/>
      <c r="L93" s="367"/>
      <c r="M93" s="368"/>
      <c r="N93" s="368"/>
    </row>
    <row r="94" spans="2:14" ht="18.75" x14ac:dyDescent="0.2">
      <c r="B94" s="238"/>
      <c r="C94" s="238"/>
      <c r="D94" s="238"/>
      <c r="E94" s="238"/>
      <c r="F94" s="367"/>
      <c r="G94" s="367"/>
      <c r="H94" s="367"/>
      <c r="I94" s="367"/>
      <c r="J94" s="367"/>
      <c r="K94" s="367"/>
      <c r="L94" s="367"/>
      <c r="M94" s="368"/>
      <c r="N94" s="368"/>
    </row>
    <row r="95" spans="2:14" ht="18.75" x14ac:dyDescent="0.2">
      <c r="B95" s="238"/>
      <c r="C95" s="238"/>
      <c r="D95" s="238"/>
      <c r="E95" s="238"/>
      <c r="F95" s="367"/>
      <c r="G95" s="367"/>
      <c r="H95" s="367"/>
      <c r="I95" s="367"/>
      <c r="J95" s="367"/>
      <c r="K95" s="367"/>
      <c r="L95" s="367"/>
      <c r="M95" s="368"/>
      <c r="N95" s="368"/>
    </row>
    <row r="96" spans="2:14" ht="18.75" x14ac:dyDescent="0.2">
      <c r="B96" s="238"/>
      <c r="C96" s="238"/>
      <c r="D96" s="238"/>
      <c r="E96" s="238"/>
      <c r="F96" s="367"/>
      <c r="G96" s="367"/>
      <c r="H96" s="367"/>
      <c r="I96" s="367"/>
      <c r="J96" s="367"/>
      <c r="K96" s="367"/>
      <c r="L96" s="367"/>
      <c r="M96" s="368"/>
      <c r="N96" s="368"/>
    </row>
    <row r="97" spans="2:14" ht="18.75" x14ac:dyDescent="0.2">
      <c r="B97" s="238"/>
      <c r="C97" s="238"/>
      <c r="D97" s="238"/>
      <c r="E97" s="238"/>
      <c r="F97" s="367"/>
      <c r="G97" s="367"/>
      <c r="H97" s="367"/>
      <c r="I97" s="367"/>
      <c r="J97" s="367"/>
      <c r="K97" s="367"/>
      <c r="L97" s="367"/>
      <c r="M97" s="368"/>
      <c r="N97" s="368"/>
    </row>
    <row r="98" spans="2:14" ht="18.75" x14ac:dyDescent="0.2">
      <c r="B98" s="238"/>
      <c r="C98" s="238"/>
      <c r="D98" s="238"/>
      <c r="E98" s="238"/>
      <c r="F98" s="367"/>
      <c r="G98" s="367"/>
      <c r="H98" s="367"/>
      <c r="I98" s="367"/>
      <c r="J98" s="367"/>
      <c r="K98" s="367"/>
      <c r="L98" s="367"/>
      <c r="M98" s="368"/>
      <c r="N98" s="368"/>
    </row>
    <row r="99" spans="2:14" ht="18.75" x14ac:dyDescent="0.2">
      <c r="B99" s="238"/>
      <c r="C99" s="238"/>
      <c r="D99" s="238"/>
      <c r="E99" s="238"/>
      <c r="F99" s="367"/>
      <c r="G99" s="367"/>
      <c r="H99" s="367"/>
      <c r="I99" s="367"/>
      <c r="J99" s="367"/>
      <c r="K99" s="367"/>
      <c r="L99" s="367"/>
      <c r="M99" s="368"/>
      <c r="N99" s="368"/>
    </row>
    <row r="100" spans="2:14" ht="18.75" x14ac:dyDescent="0.2">
      <c r="B100" s="238"/>
      <c r="C100" s="238"/>
      <c r="D100" s="238"/>
      <c r="E100" s="238"/>
      <c r="F100" s="367"/>
      <c r="G100" s="367"/>
      <c r="H100" s="367"/>
      <c r="I100" s="367"/>
      <c r="J100" s="367"/>
      <c r="K100" s="367"/>
      <c r="L100" s="367"/>
      <c r="M100" s="368"/>
      <c r="N100" s="368"/>
    </row>
    <row r="115" spans="2:14" x14ac:dyDescent="0.2">
      <c r="B115" s="370"/>
      <c r="C115" s="238"/>
      <c r="D115" s="238"/>
      <c r="E115" s="238"/>
      <c r="F115" s="238"/>
      <c r="G115" s="238"/>
      <c r="H115" s="238"/>
      <c r="I115" s="238"/>
      <c r="J115" s="238"/>
      <c r="K115" s="238"/>
      <c r="L115" s="238"/>
      <c r="M115" s="296"/>
      <c r="N115" s="296"/>
    </row>
    <row r="116" spans="2:14" x14ac:dyDescent="0.2">
      <c r="B116" s="370"/>
      <c r="C116" s="238"/>
      <c r="D116" s="238"/>
      <c r="E116" s="238"/>
      <c r="F116" s="238"/>
      <c r="G116" s="238"/>
      <c r="H116" s="238"/>
      <c r="I116" s="238"/>
      <c r="J116" s="238"/>
      <c r="K116" s="238"/>
      <c r="L116" s="238"/>
      <c r="M116" s="296"/>
      <c r="N116" s="296"/>
    </row>
    <row r="117" spans="2:14" x14ac:dyDescent="0.2">
      <c r="B117" s="370"/>
      <c r="C117" s="238"/>
      <c r="D117" s="238"/>
      <c r="E117" s="238"/>
      <c r="F117" s="238"/>
      <c r="G117" s="238"/>
      <c r="H117" s="238"/>
      <c r="I117" s="238"/>
      <c r="J117" s="238"/>
      <c r="K117" s="238"/>
      <c r="L117" s="238"/>
      <c r="M117" s="296"/>
      <c r="N117" s="296"/>
    </row>
    <row r="118" spans="2:14" x14ac:dyDescent="0.2">
      <c r="B118" s="370"/>
      <c r="C118" s="238"/>
      <c r="D118" s="238"/>
      <c r="E118" s="238"/>
      <c r="F118" s="238"/>
      <c r="G118" s="238"/>
      <c r="H118" s="238"/>
      <c r="I118" s="238"/>
      <c r="J118" s="238"/>
      <c r="K118" s="238"/>
      <c r="L118" s="238"/>
      <c r="M118" s="296"/>
      <c r="N118" s="296"/>
    </row>
    <row r="119" spans="2:14" x14ac:dyDescent="0.2">
      <c r="B119" s="370"/>
      <c r="C119" s="238"/>
      <c r="D119" s="238"/>
      <c r="E119" s="238"/>
      <c r="F119" s="238"/>
      <c r="G119" s="238"/>
      <c r="H119" s="238"/>
      <c r="I119" s="238"/>
      <c r="J119" s="238"/>
      <c r="K119" s="238"/>
      <c r="L119" s="238"/>
      <c r="M119" s="296"/>
      <c r="N119" s="296"/>
    </row>
    <row r="120" spans="2:14" x14ac:dyDescent="0.2">
      <c r="B120" s="370"/>
      <c r="C120" s="238"/>
      <c r="D120" s="238"/>
      <c r="E120" s="238"/>
      <c r="F120" s="238"/>
      <c r="G120" s="238"/>
      <c r="H120" s="238"/>
      <c r="I120" s="238"/>
      <c r="J120" s="238"/>
      <c r="K120" s="238"/>
      <c r="L120" s="238"/>
      <c r="M120" s="296"/>
      <c r="N120" s="296"/>
    </row>
    <row r="121" spans="2:14" x14ac:dyDescent="0.2">
      <c r="B121" s="370"/>
      <c r="C121" s="238"/>
      <c r="D121" s="238"/>
      <c r="E121" s="238"/>
      <c r="F121" s="238"/>
      <c r="G121" s="238"/>
      <c r="H121" s="238"/>
      <c r="I121" s="238"/>
      <c r="J121" s="238"/>
      <c r="K121" s="238"/>
      <c r="L121" s="238"/>
      <c r="M121" s="296"/>
      <c r="N121" s="296"/>
    </row>
    <row r="122" spans="2:14" x14ac:dyDescent="0.2">
      <c r="B122" s="370"/>
      <c r="C122" s="238"/>
      <c r="D122" s="238"/>
      <c r="E122" s="238"/>
      <c r="F122" s="238"/>
      <c r="G122" s="238"/>
      <c r="H122" s="238"/>
      <c r="I122" s="238"/>
      <c r="J122" s="238"/>
      <c r="K122" s="238"/>
      <c r="L122" s="238"/>
      <c r="M122" s="296"/>
      <c r="N122" s="296"/>
    </row>
    <row r="123" spans="2:14" x14ac:dyDescent="0.2">
      <c r="B123" s="370"/>
      <c r="C123" s="238"/>
      <c r="D123" s="238"/>
      <c r="E123" s="238"/>
      <c r="F123" s="238"/>
      <c r="G123" s="238"/>
      <c r="H123" s="238"/>
      <c r="I123" s="238"/>
      <c r="J123" s="238"/>
      <c r="K123" s="238"/>
      <c r="L123" s="238"/>
      <c r="M123" s="296"/>
      <c r="N123" s="296"/>
    </row>
    <row r="124" spans="2:14" x14ac:dyDescent="0.2">
      <c r="B124" s="370"/>
      <c r="C124" s="238"/>
      <c r="D124" s="238"/>
      <c r="E124" s="238"/>
      <c r="F124" s="238"/>
      <c r="G124" s="238"/>
      <c r="H124" s="238"/>
      <c r="I124" s="238"/>
      <c r="J124" s="238"/>
      <c r="K124" s="238"/>
      <c r="L124" s="238"/>
      <c r="M124" s="296"/>
      <c r="N124" s="296"/>
    </row>
    <row r="125" spans="2:14" x14ac:dyDescent="0.2">
      <c r="B125" s="370"/>
      <c r="C125" s="238"/>
      <c r="D125" s="238"/>
      <c r="E125" s="238"/>
      <c r="F125" s="238"/>
      <c r="G125" s="238"/>
      <c r="H125" s="238"/>
      <c r="I125" s="238"/>
      <c r="J125" s="238"/>
      <c r="K125" s="238"/>
      <c r="L125" s="238"/>
      <c r="M125" s="296"/>
      <c r="N125" s="296"/>
    </row>
    <row r="126" spans="2:14" x14ac:dyDescent="0.2">
      <c r="B126" s="370"/>
      <c r="C126" s="238"/>
      <c r="D126" s="238"/>
      <c r="E126" s="238"/>
      <c r="F126" s="238"/>
      <c r="G126" s="238"/>
      <c r="H126" s="238"/>
      <c r="I126" s="238"/>
      <c r="J126" s="238"/>
      <c r="K126" s="238"/>
      <c r="L126" s="238"/>
      <c r="M126" s="296"/>
      <c r="N126" s="296"/>
    </row>
    <row r="127" spans="2:14" x14ac:dyDescent="0.2">
      <c r="B127" s="370"/>
      <c r="C127" s="238"/>
      <c r="D127" s="238"/>
      <c r="E127" s="238"/>
      <c r="F127" s="238"/>
      <c r="G127" s="238"/>
      <c r="H127" s="238"/>
      <c r="I127" s="238"/>
      <c r="J127" s="238"/>
      <c r="K127" s="238"/>
      <c r="L127" s="238"/>
      <c r="M127" s="296"/>
      <c r="N127" s="296"/>
    </row>
    <row r="128" spans="2:14" x14ac:dyDescent="0.2">
      <c r="B128" s="370"/>
      <c r="C128" s="238"/>
      <c r="D128" s="238"/>
      <c r="E128" s="238"/>
      <c r="F128" s="238"/>
      <c r="G128" s="238"/>
      <c r="H128" s="238"/>
      <c r="I128" s="238"/>
      <c r="J128" s="238"/>
      <c r="K128" s="238"/>
      <c r="L128" s="238"/>
      <c r="M128" s="296"/>
      <c r="N128" s="296"/>
    </row>
    <row r="129" spans="2:14" x14ac:dyDescent="0.2">
      <c r="B129" s="370"/>
      <c r="C129" s="238"/>
      <c r="D129" s="238"/>
      <c r="E129" s="238"/>
      <c r="F129" s="238"/>
      <c r="G129" s="238"/>
      <c r="H129" s="238"/>
      <c r="I129" s="238"/>
      <c r="J129" s="238"/>
      <c r="K129" s="238"/>
      <c r="L129" s="238"/>
      <c r="M129" s="296"/>
      <c r="N129" s="296"/>
    </row>
    <row r="130" spans="2:14" x14ac:dyDescent="0.2">
      <c r="B130" s="370"/>
      <c r="C130" s="238"/>
      <c r="D130" s="238"/>
      <c r="E130" s="238"/>
      <c r="F130" s="238"/>
      <c r="G130" s="238"/>
      <c r="H130" s="238"/>
      <c r="I130" s="238"/>
      <c r="J130" s="238"/>
      <c r="K130" s="238"/>
      <c r="L130" s="238"/>
      <c r="M130" s="296"/>
      <c r="N130" s="296"/>
    </row>
    <row r="131" spans="2:14" x14ac:dyDescent="0.2">
      <c r="B131" s="370"/>
      <c r="C131" s="238"/>
      <c r="D131" s="238"/>
      <c r="E131" s="238"/>
      <c r="F131" s="238"/>
      <c r="G131" s="238"/>
      <c r="H131" s="238"/>
      <c r="I131" s="238"/>
      <c r="J131" s="238"/>
      <c r="K131" s="238"/>
      <c r="L131" s="238"/>
      <c r="M131" s="296"/>
      <c r="N131" s="296"/>
    </row>
    <row r="132" spans="2:14" x14ac:dyDescent="0.2">
      <c r="B132" s="370"/>
      <c r="C132" s="238"/>
      <c r="D132" s="238"/>
      <c r="E132" s="238"/>
      <c r="F132" s="238"/>
      <c r="G132" s="238"/>
      <c r="H132" s="238"/>
      <c r="I132" s="238"/>
      <c r="J132" s="238"/>
      <c r="K132" s="238"/>
      <c r="L132" s="238"/>
      <c r="M132" s="296"/>
      <c r="N132" s="296"/>
    </row>
    <row r="133" spans="2:14" x14ac:dyDescent="0.2">
      <c r="B133" s="370"/>
      <c r="C133" s="238"/>
      <c r="D133" s="238"/>
      <c r="E133" s="238"/>
      <c r="F133" s="238"/>
      <c r="G133" s="238"/>
      <c r="H133" s="238"/>
      <c r="I133" s="238"/>
      <c r="J133" s="238"/>
      <c r="K133" s="238"/>
      <c r="L133" s="238"/>
      <c r="M133" s="296"/>
      <c r="N133" s="296"/>
    </row>
    <row r="134" spans="2:14" x14ac:dyDescent="0.2">
      <c r="B134" s="370"/>
      <c r="C134" s="238"/>
      <c r="D134" s="238"/>
      <c r="E134" s="238"/>
      <c r="F134" s="238"/>
      <c r="G134" s="238"/>
      <c r="H134" s="238"/>
      <c r="I134" s="238"/>
      <c r="J134" s="238"/>
      <c r="K134" s="238"/>
      <c r="L134" s="238"/>
      <c r="M134" s="296"/>
      <c r="N134" s="296"/>
    </row>
    <row r="135" spans="2:14" x14ac:dyDescent="0.2">
      <c r="B135" s="370"/>
      <c r="C135" s="238"/>
      <c r="D135" s="238"/>
      <c r="E135" s="238"/>
      <c r="F135" s="238"/>
      <c r="G135" s="238"/>
      <c r="H135" s="238"/>
      <c r="I135" s="238"/>
      <c r="J135" s="238"/>
      <c r="K135" s="238"/>
      <c r="L135" s="238"/>
      <c r="M135" s="296"/>
      <c r="N135" s="296"/>
    </row>
    <row r="136" spans="2:14" x14ac:dyDescent="0.2">
      <c r="B136" s="370"/>
      <c r="C136" s="238"/>
      <c r="D136" s="238"/>
      <c r="E136" s="238"/>
      <c r="F136" s="238"/>
      <c r="G136" s="238"/>
      <c r="H136" s="238"/>
      <c r="I136" s="238"/>
      <c r="J136" s="238"/>
      <c r="K136" s="238"/>
      <c r="L136" s="238"/>
      <c r="M136" s="296"/>
      <c r="N136" s="296"/>
    </row>
    <row r="137" spans="2:14" x14ac:dyDescent="0.2">
      <c r="B137" s="370"/>
      <c r="C137" s="238"/>
      <c r="D137" s="238"/>
      <c r="E137" s="238"/>
      <c r="F137" s="238"/>
      <c r="G137" s="238"/>
      <c r="H137" s="238"/>
      <c r="I137" s="238"/>
      <c r="J137" s="238"/>
      <c r="K137" s="238"/>
      <c r="L137" s="238"/>
      <c r="M137" s="296"/>
      <c r="N137" s="296"/>
    </row>
    <row r="138" spans="2:14" x14ac:dyDescent="0.2">
      <c r="B138" s="370"/>
      <c r="C138" s="238"/>
      <c r="D138" s="238"/>
      <c r="E138" s="238"/>
      <c r="F138" s="238"/>
      <c r="G138" s="238"/>
      <c r="H138" s="238"/>
      <c r="I138" s="238"/>
      <c r="J138" s="238"/>
      <c r="K138" s="238"/>
      <c r="L138" s="238"/>
      <c r="M138" s="296"/>
      <c r="N138" s="296"/>
    </row>
    <row r="139" spans="2:14" x14ac:dyDescent="0.2">
      <c r="B139" s="370"/>
      <c r="C139" s="238"/>
      <c r="D139" s="238"/>
      <c r="E139" s="238"/>
      <c r="F139" s="238"/>
      <c r="G139" s="238"/>
      <c r="H139" s="238"/>
      <c r="I139" s="238"/>
      <c r="J139" s="238"/>
      <c r="K139" s="238"/>
      <c r="L139" s="238"/>
      <c r="M139" s="296"/>
      <c r="N139" s="296"/>
    </row>
    <row r="140" spans="2:14" x14ac:dyDescent="0.2">
      <c r="B140" s="370"/>
      <c r="C140" s="238"/>
      <c r="D140" s="238"/>
      <c r="E140" s="238"/>
      <c r="F140" s="238"/>
      <c r="G140" s="238"/>
      <c r="H140" s="238"/>
      <c r="I140" s="238"/>
      <c r="J140" s="238"/>
      <c r="K140" s="238"/>
      <c r="L140" s="238"/>
      <c r="M140" s="296"/>
      <c r="N140" s="296"/>
    </row>
    <row r="141" spans="2:14" x14ac:dyDescent="0.2">
      <c r="B141" s="370"/>
      <c r="C141" s="238"/>
      <c r="D141" s="238"/>
      <c r="E141" s="238"/>
      <c r="F141" s="238"/>
      <c r="G141" s="238"/>
      <c r="H141" s="238"/>
      <c r="I141" s="238"/>
      <c r="J141" s="238"/>
      <c r="K141" s="238"/>
      <c r="L141" s="238"/>
      <c r="M141" s="296"/>
      <c r="N141" s="296"/>
    </row>
  </sheetData>
  <mergeCells count="16">
    <mergeCell ref="D70:G70"/>
    <mergeCell ref="G7:G8"/>
    <mergeCell ref="H7:H8"/>
    <mergeCell ref="I7:I8"/>
    <mergeCell ref="G1:J1"/>
    <mergeCell ref="A4:N4"/>
    <mergeCell ref="A5:C5"/>
    <mergeCell ref="A6:C6"/>
    <mergeCell ref="A7:A8"/>
    <mergeCell ref="B7:B8"/>
    <mergeCell ref="C7:C8"/>
    <mergeCell ref="D7:D8"/>
    <mergeCell ref="E7:E8"/>
    <mergeCell ref="F7:F8"/>
    <mergeCell ref="N7:N8"/>
    <mergeCell ref="J7:M7"/>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3" manualBreakCount="3">
    <brk id="19" max="16383" man="1"/>
    <brk id="31" max="16383" man="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9"/>
  <sheetViews>
    <sheetView topLeftCell="A3" workbookViewId="0">
      <selection activeCell="D3" sqref="D3"/>
    </sheetView>
  </sheetViews>
  <sheetFormatPr defaultRowHeight="12.75" x14ac:dyDescent="0.2"/>
  <cols>
    <col min="1" max="1" width="8" customWidth="1"/>
    <col min="2" max="2" width="6.85546875" customWidth="1"/>
    <col min="3" max="3" width="6.28515625" customWidth="1"/>
    <col min="4" max="4" width="44" customWidth="1"/>
    <col min="5" max="5" width="39.7109375" customWidth="1"/>
    <col min="6" max="6" width="18.140625" customWidth="1"/>
    <col min="7" max="7" width="12" customWidth="1"/>
    <col min="8" max="8" width="11" customWidth="1"/>
    <col min="9" max="9" width="11.85546875" customWidth="1"/>
    <col min="10" max="10" width="12.28515625" customWidth="1"/>
    <col min="11" max="11" width="13" hidden="1" customWidth="1"/>
    <col min="12" max="12" width="11.85546875" hidden="1" customWidth="1"/>
    <col min="13" max="13" width="12" hidden="1" customWidth="1"/>
    <col min="14" max="14" width="10.85546875" hidden="1" customWidth="1"/>
    <col min="15" max="15" width="13.7109375" hidden="1" customWidth="1"/>
    <col min="16" max="16" width="12.140625" hidden="1" customWidth="1"/>
    <col min="17" max="21" width="9.140625" hidden="1" customWidth="1"/>
    <col min="22" max="22" width="12.7109375" hidden="1" customWidth="1"/>
    <col min="23" max="25" width="9.140625" hidden="1" customWidth="1"/>
    <col min="26" max="26" width="0" hidden="1" customWidth="1"/>
  </cols>
  <sheetData>
    <row r="1" spans="1:10" x14ac:dyDescent="0.2">
      <c r="A1" s="1"/>
      <c r="B1" s="1"/>
      <c r="C1" s="1"/>
      <c r="D1" s="1"/>
      <c r="E1" s="1"/>
      <c r="F1" s="1"/>
      <c r="G1" s="1" t="s">
        <v>0</v>
      </c>
      <c r="H1" s="1"/>
      <c r="I1" s="1"/>
      <c r="J1" s="1"/>
    </row>
    <row r="2" spans="1:10" x14ac:dyDescent="0.2">
      <c r="A2" s="1"/>
      <c r="B2" s="1"/>
      <c r="C2" s="1"/>
      <c r="D2" s="1"/>
      <c r="E2" s="1"/>
      <c r="F2" s="1"/>
      <c r="G2" s="1" t="s">
        <v>833</v>
      </c>
      <c r="H2" s="1"/>
      <c r="I2" s="1"/>
      <c r="J2" s="1"/>
    </row>
    <row r="3" spans="1:10" x14ac:dyDescent="0.2">
      <c r="A3" s="1"/>
      <c r="B3" s="1"/>
      <c r="C3" s="1"/>
      <c r="D3" s="1"/>
      <c r="E3" s="1"/>
      <c r="F3" s="1"/>
      <c r="G3" s="1" t="s">
        <v>1103</v>
      </c>
      <c r="H3" s="1"/>
      <c r="I3" s="1"/>
      <c r="J3" s="1"/>
    </row>
    <row r="4" spans="1:10" ht="12.75" customHeight="1" x14ac:dyDescent="0.2">
      <c r="A4" s="883" t="s">
        <v>771</v>
      </c>
      <c r="B4" s="884"/>
      <c r="C4" s="884"/>
      <c r="D4" s="884"/>
      <c r="E4" s="884"/>
      <c r="F4" s="884"/>
      <c r="G4" s="884"/>
      <c r="H4" s="884"/>
      <c r="I4" s="884"/>
      <c r="J4" s="884"/>
    </row>
    <row r="5" spans="1:10" x14ac:dyDescent="0.2">
      <c r="A5" s="371" t="s">
        <v>1</v>
      </c>
      <c r="B5" s="1"/>
      <c r="C5" s="1"/>
      <c r="D5" s="1"/>
      <c r="E5" s="1"/>
      <c r="F5" s="1"/>
      <c r="G5" s="1"/>
      <c r="H5" s="1"/>
      <c r="I5" s="1"/>
      <c r="J5" s="1"/>
    </row>
    <row r="6" spans="1:10" ht="13.5" thickBot="1" x14ac:dyDescent="0.25">
      <c r="A6" s="1" t="s">
        <v>2</v>
      </c>
      <c r="B6" s="1"/>
      <c r="C6" s="1"/>
      <c r="D6" s="1"/>
      <c r="E6" s="1"/>
      <c r="F6" s="1"/>
      <c r="G6" s="1"/>
      <c r="H6" s="1"/>
      <c r="I6" s="1"/>
      <c r="J6" s="2" t="s">
        <v>3</v>
      </c>
    </row>
    <row r="7" spans="1:10" ht="12.75" customHeight="1" x14ac:dyDescent="0.2">
      <c r="A7" s="885" t="s">
        <v>4</v>
      </c>
      <c r="B7" s="887" t="s">
        <v>5</v>
      </c>
      <c r="C7" s="887" t="s">
        <v>6</v>
      </c>
      <c r="D7" s="889" t="s">
        <v>7</v>
      </c>
      <c r="E7" s="889" t="s">
        <v>8</v>
      </c>
      <c r="F7" s="887" t="s">
        <v>9</v>
      </c>
      <c r="G7" s="890" t="s">
        <v>10</v>
      </c>
      <c r="H7" s="890" t="s">
        <v>11</v>
      </c>
      <c r="I7" s="890" t="s">
        <v>12</v>
      </c>
      <c r="J7" s="892"/>
    </row>
    <row r="8" spans="1:10" ht="110.45" customHeight="1" x14ac:dyDescent="0.2">
      <c r="A8" s="886"/>
      <c r="B8" s="888"/>
      <c r="C8" s="888"/>
      <c r="D8" s="888"/>
      <c r="E8" s="888"/>
      <c r="F8" s="888"/>
      <c r="G8" s="891"/>
      <c r="H8" s="891"/>
      <c r="I8" s="787" t="s">
        <v>13</v>
      </c>
      <c r="J8" s="501" t="s">
        <v>14</v>
      </c>
    </row>
    <row r="9" spans="1:10" x14ac:dyDescent="0.2">
      <c r="A9" s="6">
        <v>1</v>
      </c>
      <c r="B9" s="3">
        <v>2</v>
      </c>
      <c r="C9" s="3">
        <v>3</v>
      </c>
      <c r="D9" s="3">
        <v>4</v>
      </c>
      <c r="E9" s="3">
        <v>5</v>
      </c>
      <c r="F9" s="3">
        <v>6</v>
      </c>
      <c r="G9" s="502">
        <v>7</v>
      </c>
      <c r="H9" s="502">
        <v>8</v>
      </c>
      <c r="I9" s="502">
        <v>9</v>
      </c>
      <c r="J9" s="503">
        <v>10</v>
      </c>
    </row>
    <row r="10" spans="1:10" x14ac:dyDescent="0.2">
      <c r="A10" s="7" t="s">
        <v>15</v>
      </c>
      <c r="B10" s="4" t="s">
        <v>16</v>
      </c>
      <c r="C10" s="4" t="s">
        <v>16</v>
      </c>
      <c r="D10" s="4" t="s">
        <v>683</v>
      </c>
      <c r="E10" s="4" t="s">
        <v>16</v>
      </c>
      <c r="F10" s="4" t="s">
        <v>16</v>
      </c>
      <c r="G10" s="504">
        <f>SUM(G11:G57)-G48-G12-G31</f>
        <v>18512101.5</v>
      </c>
      <c r="H10" s="504">
        <f>SUM(H11:H57)-H48-H12-H31</f>
        <v>13722479</v>
      </c>
      <c r="I10" s="504">
        <f>SUM(I11:I57)-I48-I12-I31</f>
        <v>4789622.5</v>
      </c>
      <c r="J10" s="530">
        <f>SUM(J11:J57)-J48-J12-J31</f>
        <v>2706551</v>
      </c>
    </row>
    <row r="11" spans="1:10" ht="68.25" customHeight="1" x14ac:dyDescent="0.2">
      <c r="A11" s="8" t="s">
        <v>17</v>
      </c>
      <c r="B11" s="786" t="s">
        <v>18</v>
      </c>
      <c r="C11" s="5" t="s">
        <v>19</v>
      </c>
      <c r="D11" s="5" t="s">
        <v>20</v>
      </c>
      <c r="E11" s="5" t="s">
        <v>21</v>
      </c>
      <c r="F11" s="5" t="s">
        <v>876</v>
      </c>
      <c r="G11" s="505">
        <f>H11+I11</f>
        <v>282443</v>
      </c>
      <c r="H11" s="506">
        <f>165443+68000+49000</f>
        <v>282443</v>
      </c>
      <c r="I11" s="506">
        <v>0</v>
      </c>
      <c r="J11" s="507">
        <v>0</v>
      </c>
    </row>
    <row r="12" spans="1:10" ht="25.5" x14ac:dyDescent="0.2">
      <c r="A12" s="8"/>
      <c r="B12" s="786"/>
      <c r="C12" s="5"/>
      <c r="D12" s="5" t="s">
        <v>415</v>
      </c>
      <c r="E12" s="5"/>
      <c r="F12" s="5"/>
      <c r="G12" s="505">
        <f>H12+I12</f>
        <v>165443</v>
      </c>
      <c r="H12" s="506">
        <f>165443</f>
        <v>165443</v>
      </c>
      <c r="I12" s="506"/>
      <c r="J12" s="507"/>
    </row>
    <row r="13" spans="1:10" ht="55.5" customHeight="1" x14ac:dyDescent="0.2">
      <c r="A13" s="8" t="s">
        <v>23</v>
      </c>
      <c r="B13" s="786" t="s">
        <v>24</v>
      </c>
      <c r="C13" s="5" t="s">
        <v>25</v>
      </c>
      <c r="D13" s="5" t="s">
        <v>26</v>
      </c>
      <c r="E13" s="5" t="s">
        <v>21</v>
      </c>
      <c r="F13" s="5" t="s">
        <v>876</v>
      </c>
      <c r="G13" s="505">
        <f t="shared" ref="G13:G107" si="0">H13+I13</f>
        <v>362910</v>
      </c>
      <c r="H13" s="506">
        <f>278000+79910+5000</f>
        <v>362910</v>
      </c>
      <c r="I13" s="506">
        <v>0</v>
      </c>
      <c r="J13" s="507">
        <v>0</v>
      </c>
    </row>
    <row r="14" spans="1:10" ht="42" customHeight="1" x14ac:dyDescent="0.2">
      <c r="A14" s="8" t="s">
        <v>23</v>
      </c>
      <c r="B14" s="786" t="s">
        <v>24</v>
      </c>
      <c r="C14" s="5" t="s">
        <v>25</v>
      </c>
      <c r="D14" s="5" t="s">
        <v>26</v>
      </c>
      <c r="E14" s="5" t="s">
        <v>995</v>
      </c>
      <c r="F14" s="5" t="s">
        <v>665</v>
      </c>
      <c r="G14" s="505">
        <f t="shared" si="0"/>
        <v>35000</v>
      </c>
      <c r="H14" s="506">
        <f>15000+20000</f>
        <v>35000</v>
      </c>
      <c r="I14" s="506"/>
      <c r="J14" s="507"/>
    </row>
    <row r="15" spans="1:10" ht="63.75" customHeight="1" x14ac:dyDescent="0.2">
      <c r="A15" s="8" t="s">
        <v>23</v>
      </c>
      <c r="B15" s="786" t="s">
        <v>24</v>
      </c>
      <c r="C15" s="5" t="s">
        <v>25</v>
      </c>
      <c r="D15" s="5" t="s">
        <v>26</v>
      </c>
      <c r="E15" s="5" t="s">
        <v>90</v>
      </c>
      <c r="F15" s="5" t="s">
        <v>91</v>
      </c>
      <c r="G15" s="505">
        <f t="shared" si="0"/>
        <v>3360</v>
      </c>
      <c r="H15" s="506">
        <v>3360</v>
      </c>
      <c r="I15" s="506"/>
      <c r="J15" s="507"/>
    </row>
    <row r="16" spans="1:10" ht="53.25" hidden="1" customHeight="1" x14ac:dyDescent="0.2">
      <c r="A16" s="8" t="s">
        <v>27</v>
      </c>
      <c r="B16" s="786" t="s">
        <v>28</v>
      </c>
      <c r="C16" s="5" t="s">
        <v>29</v>
      </c>
      <c r="D16" s="5" t="s">
        <v>30</v>
      </c>
      <c r="E16" s="5" t="s">
        <v>31</v>
      </c>
      <c r="F16" s="5" t="s">
        <v>32</v>
      </c>
      <c r="G16" s="505">
        <f t="shared" si="0"/>
        <v>0</v>
      </c>
      <c r="H16" s="506">
        <f>12000-12000</f>
        <v>0</v>
      </c>
      <c r="I16" s="506">
        <v>0</v>
      </c>
      <c r="J16" s="507">
        <v>0</v>
      </c>
    </row>
    <row r="17" spans="1:10" ht="56.25" hidden="1" customHeight="1" x14ac:dyDescent="0.2">
      <c r="A17" s="8" t="s">
        <v>33</v>
      </c>
      <c r="B17" s="786" t="s">
        <v>34</v>
      </c>
      <c r="C17" s="5" t="s">
        <v>35</v>
      </c>
      <c r="D17" s="5" t="s">
        <v>36</v>
      </c>
      <c r="E17" s="5" t="s">
        <v>31</v>
      </c>
      <c r="F17" s="5" t="s">
        <v>32</v>
      </c>
      <c r="G17" s="505">
        <f t="shared" si="0"/>
        <v>0</v>
      </c>
      <c r="H17" s="506">
        <f>60000-60000</f>
        <v>0</v>
      </c>
      <c r="I17" s="506">
        <f>60000-60000</f>
        <v>0</v>
      </c>
      <c r="J17" s="507">
        <v>0</v>
      </c>
    </row>
    <row r="18" spans="1:10" ht="54.75" customHeight="1" x14ac:dyDescent="0.2">
      <c r="A18" s="8" t="s">
        <v>37</v>
      </c>
      <c r="B18" s="786" t="s">
        <v>38</v>
      </c>
      <c r="C18" s="5" t="s">
        <v>39</v>
      </c>
      <c r="D18" s="5" t="s">
        <v>40</v>
      </c>
      <c r="E18" s="5" t="s">
        <v>31</v>
      </c>
      <c r="F18" s="5" t="s">
        <v>32</v>
      </c>
      <c r="G18" s="505">
        <f t="shared" si="0"/>
        <v>23000</v>
      </c>
      <c r="H18" s="506">
        <v>23000</v>
      </c>
      <c r="I18" s="506">
        <v>0</v>
      </c>
      <c r="J18" s="507">
        <v>0</v>
      </c>
    </row>
    <row r="19" spans="1:10" ht="48.75" customHeight="1" x14ac:dyDescent="0.2">
      <c r="A19" s="8" t="s">
        <v>41</v>
      </c>
      <c r="B19" s="786" t="s">
        <v>42</v>
      </c>
      <c r="C19" s="5" t="s">
        <v>39</v>
      </c>
      <c r="D19" s="5" t="s">
        <v>43</v>
      </c>
      <c r="E19" s="5" t="s">
        <v>996</v>
      </c>
      <c r="F19" s="5" t="s">
        <v>45</v>
      </c>
      <c r="G19" s="505">
        <f t="shared" si="0"/>
        <v>20000</v>
      </c>
      <c r="H19" s="506">
        <v>20000</v>
      </c>
      <c r="I19" s="506">
        <v>0</v>
      </c>
      <c r="J19" s="507">
        <v>0</v>
      </c>
    </row>
    <row r="20" spans="1:10" ht="51" hidden="1" x14ac:dyDescent="0.2">
      <c r="A20" s="8" t="s">
        <v>46</v>
      </c>
      <c r="B20" s="786" t="s">
        <v>47</v>
      </c>
      <c r="C20" s="5" t="s">
        <v>39</v>
      </c>
      <c r="D20" s="5" t="s">
        <v>48</v>
      </c>
      <c r="E20" s="5" t="s">
        <v>49</v>
      </c>
      <c r="F20" s="5" t="s">
        <v>50</v>
      </c>
      <c r="G20" s="505">
        <f t="shared" si="0"/>
        <v>0</v>
      </c>
      <c r="H20" s="506">
        <f>195000-195000</f>
        <v>0</v>
      </c>
      <c r="I20" s="506">
        <v>0</v>
      </c>
      <c r="J20" s="507">
        <v>0</v>
      </c>
    </row>
    <row r="21" spans="1:10" ht="80.25" hidden="1" customHeight="1" x14ac:dyDescent="0.2">
      <c r="A21" s="8" t="s">
        <v>51</v>
      </c>
      <c r="B21" s="786" t="s">
        <v>52</v>
      </c>
      <c r="C21" s="5" t="s">
        <v>53</v>
      </c>
      <c r="D21" s="5" t="s">
        <v>54</v>
      </c>
      <c r="E21" s="5" t="s">
        <v>31</v>
      </c>
      <c r="F21" s="5" t="s">
        <v>32</v>
      </c>
      <c r="G21" s="505">
        <f t="shared" si="0"/>
        <v>0</v>
      </c>
      <c r="H21" s="506">
        <f>43467-35000-8467</f>
        <v>0</v>
      </c>
      <c r="I21" s="506">
        <v>0</v>
      </c>
      <c r="J21" s="507">
        <v>0</v>
      </c>
    </row>
    <row r="22" spans="1:10" ht="54" hidden="1" customHeight="1" x14ac:dyDescent="0.2">
      <c r="A22" s="8" t="s">
        <v>55</v>
      </c>
      <c r="B22" s="786" t="s">
        <v>56</v>
      </c>
      <c r="C22" s="5" t="s">
        <v>57</v>
      </c>
      <c r="D22" s="5" t="s">
        <v>58</v>
      </c>
      <c r="E22" s="5" t="s">
        <v>31</v>
      </c>
      <c r="F22" s="5" t="s">
        <v>32</v>
      </c>
      <c r="G22" s="505">
        <f t="shared" si="0"/>
        <v>0</v>
      </c>
      <c r="H22" s="506">
        <f>40500-35600-4900</f>
        <v>0</v>
      </c>
      <c r="I22" s="506">
        <v>0</v>
      </c>
      <c r="J22" s="507">
        <v>0</v>
      </c>
    </row>
    <row r="23" spans="1:10" ht="55.5" customHeight="1" x14ac:dyDescent="0.2">
      <c r="A23" s="8" t="s">
        <v>59</v>
      </c>
      <c r="B23" s="786" t="s">
        <v>60</v>
      </c>
      <c r="C23" s="5" t="s">
        <v>61</v>
      </c>
      <c r="D23" s="5" t="s">
        <v>62</v>
      </c>
      <c r="E23" s="5" t="s">
        <v>31</v>
      </c>
      <c r="F23" s="5" t="s">
        <v>32</v>
      </c>
      <c r="G23" s="505">
        <f t="shared" si="0"/>
        <v>381640.76</v>
      </c>
      <c r="H23" s="506">
        <f>300000-249000+249000+50000</f>
        <v>350000</v>
      </c>
      <c r="I23" s="602">
        <v>31640.76</v>
      </c>
      <c r="J23" s="507">
        <v>0</v>
      </c>
    </row>
    <row r="24" spans="1:10" ht="83.25" hidden="1" customHeight="1" x14ac:dyDescent="0.2">
      <c r="A24" s="8" t="s">
        <v>63</v>
      </c>
      <c r="B24" s="786" t="s">
        <v>64</v>
      </c>
      <c r="C24" s="5" t="s">
        <v>65</v>
      </c>
      <c r="D24" s="5" t="s">
        <v>66</v>
      </c>
      <c r="E24" s="5" t="s">
        <v>67</v>
      </c>
      <c r="F24" s="5" t="s">
        <v>68</v>
      </c>
      <c r="G24" s="505">
        <f t="shared" si="0"/>
        <v>0</v>
      </c>
      <c r="H24" s="506">
        <f>100000-100000</f>
        <v>0</v>
      </c>
      <c r="I24" s="506">
        <v>0</v>
      </c>
      <c r="J24" s="507">
        <v>0</v>
      </c>
    </row>
    <row r="25" spans="1:10" ht="51" hidden="1" customHeight="1" x14ac:dyDescent="0.2">
      <c r="A25" s="8" t="s">
        <v>63</v>
      </c>
      <c r="B25" s="786" t="s">
        <v>64</v>
      </c>
      <c r="C25" s="5" t="s">
        <v>65</v>
      </c>
      <c r="D25" s="5" t="s">
        <v>66</v>
      </c>
      <c r="E25" s="5" t="s">
        <v>21</v>
      </c>
      <c r="F25" s="5" t="s">
        <v>22</v>
      </c>
      <c r="G25" s="505">
        <f t="shared" si="0"/>
        <v>0</v>
      </c>
      <c r="H25" s="506">
        <f>70000-70000</f>
        <v>0</v>
      </c>
      <c r="I25" s="506">
        <v>0</v>
      </c>
      <c r="J25" s="507">
        <v>0</v>
      </c>
    </row>
    <row r="26" spans="1:10" ht="38.25" hidden="1" x14ac:dyDescent="0.2">
      <c r="A26" s="8" t="s">
        <v>63</v>
      </c>
      <c r="B26" s="786" t="s">
        <v>64</v>
      </c>
      <c r="C26" s="5" t="s">
        <v>65</v>
      </c>
      <c r="D26" s="5" t="s">
        <v>66</v>
      </c>
      <c r="E26" s="5" t="s">
        <v>31</v>
      </c>
      <c r="F26" s="5" t="s">
        <v>32</v>
      </c>
      <c r="G26" s="505">
        <f t="shared" si="0"/>
        <v>0</v>
      </c>
      <c r="H26" s="506">
        <f>544000-450000-94000</f>
        <v>0</v>
      </c>
      <c r="I26" s="506">
        <v>0</v>
      </c>
      <c r="J26" s="507">
        <v>0</v>
      </c>
    </row>
    <row r="27" spans="1:10" ht="48.75" customHeight="1" x14ac:dyDescent="0.2">
      <c r="A27" s="8" t="s">
        <v>69</v>
      </c>
      <c r="B27" s="786" t="s">
        <v>70</v>
      </c>
      <c r="C27" s="5" t="s">
        <v>71</v>
      </c>
      <c r="D27" s="5" t="s">
        <v>72</v>
      </c>
      <c r="E27" s="5" t="s">
        <v>73</v>
      </c>
      <c r="F27" s="5" t="s">
        <v>74</v>
      </c>
      <c r="G27" s="505">
        <f t="shared" si="0"/>
        <v>400000</v>
      </c>
      <c r="H27" s="506">
        <v>400000</v>
      </c>
      <c r="I27" s="506">
        <v>0</v>
      </c>
      <c r="J27" s="507">
        <v>0</v>
      </c>
    </row>
    <row r="28" spans="1:10" ht="47.25" customHeight="1" x14ac:dyDescent="0.2">
      <c r="A28" s="8" t="s">
        <v>75</v>
      </c>
      <c r="B28" s="786" t="s">
        <v>76</v>
      </c>
      <c r="C28" s="5" t="s">
        <v>71</v>
      </c>
      <c r="D28" s="5" t="s">
        <v>77</v>
      </c>
      <c r="E28" s="5" t="s">
        <v>73</v>
      </c>
      <c r="F28" s="5" t="s">
        <v>74</v>
      </c>
      <c r="G28" s="505">
        <f t="shared" si="0"/>
        <v>149500</v>
      </c>
      <c r="H28" s="506">
        <v>149500</v>
      </c>
      <c r="I28" s="506">
        <v>0</v>
      </c>
      <c r="J28" s="507">
        <v>0</v>
      </c>
    </row>
    <row r="29" spans="1:10" ht="38.25" hidden="1" x14ac:dyDescent="0.2">
      <c r="A29" s="8" t="s">
        <v>75</v>
      </c>
      <c r="B29" s="786" t="s">
        <v>76</v>
      </c>
      <c r="C29" s="5" t="s">
        <v>71</v>
      </c>
      <c r="D29" s="5" t="s">
        <v>77</v>
      </c>
      <c r="E29" s="5" t="s">
        <v>49</v>
      </c>
      <c r="F29" s="5" t="s">
        <v>50</v>
      </c>
      <c r="G29" s="505">
        <f t="shared" si="0"/>
        <v>0</v>
      </c>
      <c r="H29" s="506">
        <f>24500-24500</f>
        <v>0</v>
      </c>
      <c r="I29" s="506">
        <v>0</v>
      </c>
      <c r="J29" s="507">
        <v>0</v>
      </c>
    </row>
    <row r="30" spans="1:10" ht="49.5" customHeight="1" x14ac:dyDescent="0.2">
      <c r="A30" s="8" t="s">
        <v>75</v>
      </c>
      <c r="B30" s="786" t="s">
        <v>76</v>
      </c>
      <c r="C30" s="5" t="s">
        <v>71</v>
      </c>
      <c r="D30" s="5" t="s">
        <v>77</v>
      </c>
      <c r="E30" s="5" t="s">
        <v>21</v>
      </c>
      <c r="F30" s="5" t="s">
        <v>22</v>
      </c>
      <c r="G30" s="505">
        <f t="shared" si="0"/>
        <v>244500</v>
      </c>
      <c r="H30" s="506">
        <v>244500</v>
      </c>
      <c r="I30" s="506">
        <v>0</v>
      </c>
      <c r="J30" s="507">
        <v>0</v>
      </c>
    </row>
    <row r="31" spans="1:10" ht="25.5" x14ac:dyDescent="0.2">
      <c r="A31" s="8"/>
      <c r="B31" s="786"/>
      <c r="C31" s="5"/>
      <c r="D31" s="5" t="s">
        <v>415</v>
      </c>
      <c r="E31" s="5"/>
      <c r="F31" s="5"/>
      <c r="G31" s="505">
        <f t="shared" si="0"/>
        <v>244500</v>
      </c>
      <c r="H31" s="506">
        <v>244500</v>
      </c>
      <c r="I31" s="506">
        <v>0</v>
      </c>
      <c r="J31" s="507">
        <v>0</v>
      </c>
    </row>
    <row r="32" spans="1:10" ht="38.25" x14ac:dyDescent="0.2">
      <c r="A32" s="8" t="s">
        <v>78</v>
      </c>
      <c r="B32" s="786" t="s">
        <v>79</v>
      </c>
      <c r="C32" s="5" t="s">
        <v>80</v>
      </c>
      <c r="D32" s="5" t="s">
        <v>81</v>
      </c>
      <c r="E32" s="5" t="s">
        <v>82</v>
      </c>
      <c r="F32" s="5" t="s">
        <v>83</v>
      </c>
      <c r="G32" s="505">
        <f t="shared" si="0"/>
        <v>1039000</v>
      </c>
      <c r="H32" s="506">
        <f>50000+140000+80000+110000+60000+130000+15000+100000+95000+87750+60000+87750</f>
        <v>1015500</v>
      </c>
      <c r="I32" s="506">
        <v>23500</v>
      </c>
      <c r="J32" s="507">
        <v>23500</v>
      </c>
    </row>
    <row r="33" spans="1:10" ht="54" customHeight="1" x14ac:dyDescent="0.2">
      <c r="A33" s="8" t="s">
        <v>84</v>
      </c>
      <c r="B33" s="786" t="s">
        <v>85</v>
      </c>
      <c r="C33" s="5" t="s">
        <v>80</v>
      </c>
      <c r="D33" s="5" t="s">
        <v>86</v>
      </c>
      <c r="E33" s="5" t="s">
        <v>21</v>
      </c>
      <c r="F33" s="5" t="s">
        <v>876</v>
      </c>
      <c r="G33" s="505">
        <f t="shared" si="0"/>
        <v>779000</v>
      </c>
      <c r="H33" s="506">
        <f>730000+49000</f>
        <v>779000</v>
      </c>
      <c r="I33" s="506">
        <v>0</v>
      </c>
      <c r="J33" s="507">
        <v>0</v>
      </c>
    </row>
    <row r="34" spans="1:10" ht="60" customHeight="1" x14ac:dyDescent="0.2">
      <c r="A34" s="430" t="s">
        <v>580</v>
      </c>
      <c r="B34" s="786">
        <v>6020</v>
      </c>
      <c r="C34" s="5" t="s">
        <v>80</v>
      </c>
      <c r="D34" s="5" t="s">
        <v>639</v>
      </c>
      <c r="E34" s="5" t="s">
        <v>660</v>
      </c>
      <c r="F34" s="5" t="s">
        <v>93</v>
      </c>
      <c r="G34" s="505">
        <f t="shared" si="0"/>
        <v>1420802</v>
      </c>
      <c r="H34" s="506">
        <f>86000+130000+55000+129470+100000+153700+161673+181000+169000+254959</f>
        <v>1420802</v>
      </c>
      <c r="I34" s="506"/>
      <c r="J34" s="507"/>
    </row>
    <row r="35" spans="1:10" ht="62.25" customHeight="1" x14ac:dyDescent="0.2">
      <c r="A35" s="8" t="s">
        <v>87</v>
      </c>
      <c r="B35" s="786" t="s">
        <v>88</v>
      </c>
      <c r="C35" s="5" t="s">
        <v>80</v>
      </c>
      <c r="D35" s="5" t="s">
        <v>89</v>
      </c>
      <c r="E35" s="5" t="s">
        <v>90</v>
      </c>
      <c r="F35" s="5" t="s">
        <v>91</v>
      </c>
      <c r="G35" s="505">
        <f t="shared" si="0"/>
        <v>331455</v>
      </c>
      <c r="H35" s="506">
        <f>350000-3360-79000-4485</f>
        <v>263155</v>
      </c>
      <c r="I35" s="506">
        <f>79000-10700</f>
        <v>68300</v>
      </c>
      <c r="J35" s="507">
        <f>79000-10700</f>
        <v>68300</v>
      </c>
    </row>
    <row r="36" spans="1:10" ht="57.75" customHeight="1" x14ac:dyDescent="0.2">
      <c r="A36" s="8" t="s">
        <v>87</v>
      </c>
      <c r="B36" s="786" t="s">
        <v>88</v>
      </c>
      <c r="C36" s="5" t="s">
        <v>80</v>
      </c>
      <c r="D36" s="5" t="s">
        <v>89</v>
      </c>
      <c r="E36" s="5" t="s">
        <v>92</v>
      </c>
      <c r="F36" s="5" t="s">
        <v>93</v>
      </c>
      <c r="G36" s="505">
        <f t="shared" si="0"/>
        <v>50000</v>
      </c>
      <c r="H36" s="506">
        <v>50000</v>
      </c>
      <c r="I36" s="506">
        <v>0</v>
      </c>
      <c r="J36" s="507">
        <v>0</v>
      </c>
    </row>
    <row r="37" spans="1:10" ht="57" customHeight="1" x14ac:dyDescent="0.2">
      <c r="A37" s="8" t="s">
        <v>87</v>
      </c>
      <c r="B37" s="786" t="s">
        <v>88</v>
      </c>
      <c r="C37" s="5" t="s">
        <v>80</v>
      </c>
      <c r="D37" s="5" t="s">
        <v>89</v>
      </c>
      <c r="E37" s="5" t="s">
        <v>94</v>
      </c>
      <c r="F37" s="5" t="s">
        <v>95</v>
      </c>
      <c r="G37" s="505">
        <f t="shared" si="0"/>
        <v>15000</v>
      </c>
      <c r="H37" s="506">
        <v>15000</v>
      </c>
      <c r="I37" s="506">
        <v>0</v>
      </c>
      <c r="J37" s="507">
        <v>0</v>
      </c>
    </row>
    <row r="38" spans="1:10" ht="44.25" customHeight="1" x14ac:dyDescent="0.2">
      <c r="A38" s="8" t="s">
        <v>87</v>
      </c>
      <c r="B38" s="786" t="s">
        <v>88</v>
      </c>
      <c r="C38" s="5" t="s">
        <v>80</v>
      </c>
      <c r="D38" s="5" t="s">
        <v>89</v>
      </c>
      <c r="E38" s="5" t="s">
        <v>21</v>
      </c>
      <c r="F38" s="5" t="s">
        <v>876</v>
      </c>
      <c r="G38" s="505">
        <f t="shared" si="0"/>
        <v>4602659</v>
      </c>
      <c r="H38" s="506">
        <f>3280000+110700+13200+15000+3100+148600+267165+146960+492934</f>
        <v>4477659</v>
      </c>
      <c r="I38" s="506">
        <f>130000-5000</f>
        <v>125000</v>
      </c>
      <c r="J38" s="507">
        <f>130000-5000</f>
        <v>125000</v>
      </c>
    </row>
    <row r="39" spans="1:10" ht="81.75" customHeight="1" x14ac:dyDescent="0.2">
      <c r="A39" s="8" t="s">
        <v>96</v>
      </c>
      <c r="B39" s="786" t="s">
        <v>97</v>
      </c>
      <c r="C39" s="5" t="s">
        <v>98</v>
      </c>
      <c r="D39" s="5" t="s">
        <v>99</v>
      </c>
      <c r="E39" s="5" t="s">
        <v>67</v>
      </c>
      <c r="F39" s="5" t="s">
        <v>68</v>
      </c>
      <c r="G39" s="505">
        <f t="shared" si="0"/>
        <v>20000</v>
      </c>
      <c r="H39" s="506">
        <v>20000</v>
      </c>
      <c r="I39" s="506">
        <v>0</v>
      </c>
      <c r="J39" s="507">
        <v>0</v>
      </c>
    </row>
    <row r="40" spans="1:10" ht="54.75" customHeight="1" x14ac:dyDescent="0.2">
      <c r="A40" s="8" t="s">
        <v>96</v>
      </c>
      <c r="B40" s="786" t="s">
        <v>97</v>
      </c>
      <c r="C40" s="5" t="s">
        <v>98</v>
      </c>
      <c r="D40" s="5" t="s">
        <v>99</v>
      </c>
      <c r="E40" s="5" t="s">
        <v>21</v>
      </c>
      <c r="F40" s="5" t="s">
        <v>22</v>
      </c>
      <c r="G40" s="505">
        <f t="shared" si="0"/>
        <v>561300</v>
      </c>
      <c r="H40" s="506">
        <f>690000-109800-18900</f>
        <v>561300</v>
      </c>
      <c r="I40" s="506">
        <v>0</v>
      </c>
      <c r="J40" s="507">
        <v>0</v>
      </c>
    </row>
    <row r="41" spans="1:10" ht="46.5" customHeight="1" x14ac:dyDescent="0.2">
      <c r="A41" s="8" t="s">
        <v>100</v>
      </c>
      <c r="B41" s="786" t="s">
        <v>101</v>
      </c>
      <c r="C41" s="5" t="s">
        <v>102</v>
      </c>
      <c r="D41" s="5" t="s">
        <v>103</v>
      </c>
      <c r="E41" s="5" t="s">
        <v>21</v>
      </c>
      <c r="F41" s="5" t="s">
        <v>22</v>
      </c>
      <c r="G41" s="505">
        <f t="shared" si="0"/>
        <v>198911</v>
      </c>
      <c r="H41" s="506">
        <v>100000</v>
      </c>
      <c r="I41" s="506">
        <f>36780+62131</f>
        <v>98911</v>
      </c>
      <c r="J41" s="507">
        <v>0</v>
      </c>
    </row>
    <row r="42" spans="1:10" ht="44.25" customHeight="1" x14ac:dyDescent="0.2">
      <c r="A42" s="8" t="s">
        <v>1080</v>
      </c>
      <c r="B42" s="786" t="s">
        <v>1081</v>
      </c>
      <c r="C42" s="5" t="s">
        <v>172</v>
      </c>
      <c r="D42" s="5" t="s">
        <v>1082</v>
      </c>
      <c r="E42" s="5" t="s">
        <v>21</v>
      </c>
      <c r="F42" s="5" t="s">
        <v>22</v>
      </c>
      <c r="G42" s="505">
        <f t="shared" si="0"/>
        <v>210000</v>
      </c>
      <c r="H42" s="506"/>
      <c r="I42" s="506">
        <v>210000</v>
      </c>
      <c r="J42" s="507">
        <v>210000</v>
      </c>
    </row>
    <row r="43" spans="1:10" ht="45.75" customHeight="1" x14ac:dyDescent="0.2">
      <c r="A43" s="8" t="s">
        <v>419</v>
      </c>
      <c r="B43" s="786">
        <v>7330</v>
      </c>
      <c r="C43" s="5" t="s">
        <v>172</v>
      </c>
      <c r="D43" s="5" t="s">
        <v>421</v>
      </c>
      <c r="E43" s="5" t="s">
        <v>21</v>
      </c>
      <c r="F43" s="5" t="s">
        <v>22</v>
      </c>
      <c r="G43" s="696">
        <f t="shared" si="0"/>
        <v>3508507.32</v>
      </c>
      <c r="H43" s="695"/>
      <c r="I43" s="695">
        <v>3508507.32</v>
      </c>
      <c r="J43" s="507">
        <f>94500+1277991+214260+100000</f>
        <v>1686751</v>
      </c>
    </row>
    <row r="44" spans="1:10" ht="56.25" customHeight="1" x14ac:dyDescent="0.2">
      <c r="A44" s="8" t="s">
        <v>422</v>
      </c>
      <c r="B44" s="786" t="s">
        <v>423</v>
      </c>
      <c r="C44" s="5" t="s">
        <v>172</v>
      </c>
      <c r="D44" s="5" t="s">
        <v>424</v>
      </c>
      <c r="E44" s="5" t="s">
        <v>21</v>
      </c>
      <c r="F44" s="5" t="s">
        <v>22</v>
      </c>
      <c r="G44" s="505">
        <f t="shared" si="0"/>
        <v>190000</v>
      </c>
      <c r="H44" s="506"/>
      <c r="I44" s="506">
        <v>190000</v>
      </c>
      <c r="J44" s="507">
        <v>190000</v>
      </c>
    </row>
    <row r="45" spans="1:10" ht="56.25" customHeight="1" x14ac:dyDescent="0.2">
      <c r="A45" s="8" t="s">
        <v>546</v>
      </c>
      <c r="B45" s="786" t="s">
        <v>547</v>
      </c>
      <c r="C45" s="5" t="s">
        <v>116</v>
      </c>
      <c r="D45" s="5" t="s">
        <v>557</v>
      </c>
      <c r="E45" s="5" t="s">
        <v>21</v>
      </c>
      <c r="F45" s="5" t="s">
        <v>22</v>
      </c>
      <c r="G45" s="505">
        <f t="shared" si="0"/>
        <v>0</v>
      </c>
      <c r="H45" s="506"/>
      <c r="I45" s="506">
        <f>2000000-539696-236673-175000-1048631</f>
        <v>0</v>
      </c>
      <c r="J45" s="507">
        <f>2000000-539696-236673-175000-1048631</f>
        <v>0</v>
      </c>
    </row>
    <row r="46" spans="1:10" ht="54" customHeight="1" x14ac:dyDescent="0.2">
      <c r="A46" s="8" t="s">
        <v>104</v>
      </c>
      <c r="B46" s="786" t="s">
        <v>105</v>
      </c>
      <c r="C46" s="5" t="s">
        <v>106</v>
      </c>
      <c r="D46" s="5" t="s">
        <v>107</v>
      </c>
      <c r="E46" s="5" t="s">
        <v>21</v>
      </c>
      <c r="F46" s="5" t="s">
        <v>876</v>
      </c>
      <c r="G46" s="505">
        <f t="shared" si="0"/>
        <v>1425284</v>
      </c>
      <c r="H46" s="506">
        <f>2545003-873200-9000+840000-1121825-791540-55000-141415-322015+2244389-1065113</f>
        <v>1250284</v>
      </c>
      <c r="I46" s="506">
        <v>175000</v>
      </c>
      <c r="J46" s="507">
        <v>175000</v>
      </c>
    </row>
    <row r="47" spans="1:10" ht="54" customHeight="1" x14ac:dyDescent="0.2">
      <c r="A47" s="8" t="s">
        <v>800</v>
      </c>
      <c r="B47" s="786" t="s">
        <v>801</v>
      </c>
      <c r="C47" s="5" t="s">
        <v>802</v>
      </c>
      <c r="D47" s="5" t="s">
        <v>803</v>
      </c>
      <c r="E47" s="5" t="s">
        <v>21</v>
      </c>
      <c r="F47" s="5" t="s">
        <v>876</v>
      </c>
      <c r="G47" s="505">
        <f t="shared" si="0"/>
        <v>1254375</v>
      </c>
      <c r="H47" s="506">
        <v>1254375</v>
      </c>
      <c r="I47" s="506"/>
      <c r="J47" s="507"/>
    </row>
    <row r="48" spans="1:10" ht="33.6" customHeight="1" x14ac:dyDescent="0.2">
      <c r="A48" s="8"/>
      <c r="B48" s="786"/>
      <c r="C48" s="5"/>
      <c r="D48" s="5" t="s">
        <v>820</v>
      </c>
      <c r="E48" s="5"/>
      <c r="F48" s="5"/>
      <c r="G48" s="505">
        <f>H48+I48</f>
        <v>1254375</v>
      </c>
      <c r="H48" s="506">
        <v>1254375</v>
      </c>
      <c r="I48" s="506"/>
      <c r="J48" s="507"/>
    </row>
    <row r="49" spans="1:10" ht="51" x14ac:dyDescent="0.2">
      <c r="A49" s="8" t="s">
        <v>108</v>
      </c>
      <c r="B49" s="786" t="s">
        <v>109</v>
      </c>
      <c r="C49" s="5" t="s">
        <v>110</v>
      </c>
      <c r="D49" s="5" t="s">
        <v>111</v>
      </c>
      <c r="E49" s="5" t="s">
        <v>112</v>
      </c>
      <c r="F49" s="5" t="s">
        <v>113</v>
      </c>
      <c r="G49" s="505">
        <f t="shared" si="0"/>
        <v>2000</v>
      </c>
      <c r="H49" s="506">
        <v>2000</v>
      </c>
      <c r="I49" s="506">
        <v>0</v>
      </c>
      <c r="J49" s="507">
        <v>0</v>
      </c>
    </row>
    <row r="50" spans="1:10" ht="47.25" customHeight="1" x14ac:dyDescent="0.2">
      <c r="A50" s="8" t="s">
        <v>114</v>
      </c>
      <c r="B50" s="786" t="s">
        <v>115</v>
      </c>
      <c r="C50" s="5" t="s">
        <v>116</v>
      </c>
      <c r="D50" s="5" t="s">
        <v>117</v>
      </c>
      <c r="E50" s="5" t="s">
        <v>21</v>
      </c>
      <c r="F50" s="5" t="s">
        <v>876</v>
      </c>
      <c r="G50" s="505">
        <f t="shared" si="0"/>
        <v>50000</v>
      </c>
      <c r="H50" s="506">
        <v>0</v>
      </c>
      <c r="I50" s="506">
        <v>50000</v>
      </c>
      <c r="J50" s="507">
        <v>50000</v>
      </c>
    </row>
    <row r="51" spans="1:10" ht="55.5" customHeight="1" x14ac:dyDescent="0.2">
      <c r="A51" s="8" t="s">
        <v>118</v>
      </c>
      <c r="B51" s="786" t="s">
        <v>119</v>
      </c>
      <c r="C51" s="5" t="s">
        <v>116</v>
      </c>
      <c r="D51" s="5" t="s">
        <v>120</v>
      </c>
      <c r="E51" s="5" t="s">
        <v>21</v>
      </c>
      <c r="F51" s="5" t="s">
        <v>876</v>
      </c>
      <c r="G51" s="505">
        <f t="shared" si="0"/>
        <v>50000</v>
      </c>
      <c r="H51" s="506">
        <v>0</v>
      </c>
      <c r="I51" s="506">
        <v>50000</v>
      </c>
      <c r="J51" s="507">
        <v>50000</v>
      </c>
    </row>
    <row r="52" spans="1:10" ht="48.75" customHeight="1" x14ac:dyDescent="0.2">
      <c r="A52" s="8" t="s">
        <v>121</v>
      </c>
      <c r="B52" s="786" t="s">
        <v>122</v>
      </c>
      <c r="C52" s="5" t="s">
        <v>116</v>
      </c>
      <c r="D52" s="5" t="s">
        <v>123</v>
      </c>
      <c r="E52" s="5" t="s">
        <v>21</v>
      </c>
      <c r="F52" s="5" t="s">
        <v>876</v>
      </c>
      <c r="G52" s="505">
        <f t="shared" si="0"/>
        <v>52000</v>
      </c>
      <c r="H52" s="506">
        <v>52000</v>
      </c>
      <c r="I52" s="506">
        <v>0</v>
      </c>
      <c r="J52" s="507">
        <v>0</v>
      </c>
    </row>
    <row r="53" spans="1:10" ht="46.5" customHeight="1" x14ac:dyDescent="0.2">
      <c r="A53" s="8" t="s">
        <v>775</v>
      </c>
      <c r="B53" s="786" t="s">
        <v>780</v>
      </c>
      <c r="C53" s="5" t="s">
        <v>116</v>
      </c>
      <c r="D53" s="5" t="s">
        <v>781</v>
      </c>
      <c r="E53" s="5" t="s">
        <v>21</v>
      </c>
      <c r="F53" s="5" t="s">
        <v>876</v>
      </c>
      <c r="G53" s="505">
        <f t="shared" si="0"/>
        <v>434000</v>
      </c>
      <c r="H53" s="506">
        <f>49000+25000+153000+30000+49000</f>
        <v>306000</v>
      </c>
      <c r="I53" s="506">
        <v>128000</v>
      </c>
      <c r="J53" s="507">
        <v>128000</v>
      </c>
    </row>
    <row r="54" spans="1:10" ht="59.25" customHeight="1" x14ac:dyDescent="0.2">
      <c r="A54" s="8" t="s">
        <v>124</v>
      </c>
      <c r="B54" s="786" t="s">
        <v>125</v>
      </c>
      <c r="C54" s="5" t="s">
        <v>126</v>
      </c>
      <c r="D54" s="5" t="s">
        <v>127</v>
      </c>
      <c r="E54" s="5" t="s">
        <v>698</v>
      </c>
      <c r="F54" s="5" t="s">
        <v>95</v>
      </c>
      <c r="G54" s="505">
        <f t="shared" si="0"/>
        <v>125691</v>
      </c>
      <c r="H54" s="506">
        <f>150000+20000+691-45000</f>
        <v>125691</v>
      </c>
      <c r="I54" s="506">
        <v>0</v>
      </c>
      <c r="J54" s="507">
        <v>0</v>
      </c>
    </row>
    <row r="55" spans="1:10" ht="86.25" customHeight="1" x14ac:dyDescent="0.2">
      <c r="A55" s="8" t="s">
        <v>128</v>
      </c>
      <c r="B55" s="786" t="s">
        <v>129</v>
      </c>
      <c r="C55" s="5" t="s">
        <v>126</v>
      </c>
      <c r="D55" s="5" t="s">
        <v>130</v>
      </c>
      <c r="E55" s="5" t="s">
        <v>131</v>
      </c>
      <c r="F55" s="5" t="s">
        <v>132</v>
      </c>
      <c r="G55" s="505">
        <f t="shared" si="0"/>
        <v>9000</v>
      </c>
      <c r="H55" s="506">
        <v>9000</v>
      </c>
      <c r="I55" s="506">
        <v>0</v>
      </c>
      <c r="J55" s="507">
        <v>0</v>
      </c>
    </row>
    <row r="56" spans="1:10" ht="44.25" customHeight="1" x14ac:dyDescent="0.2">
      <c r="A56" s="8" t="s">
        <v>133</v>
      </c>
      <c r="B56" s="786" t="s">
        <v>134</v>
      </c>
      <c r="C56" s="5" t="s">
        <v>135</v>
      </c>
      <c r="D56" s="5" t="s">
        <v>136</v>
      </c>
      <c r="E56" s="5" t="s">
        <v>21</v>
      </c>
      <c r="F56" s="5" t="s">
        <v>22</v>
      </c>
      <c r="G56" s="505">
        <f t="shared" si="0"/>
        <v>130763.42</v>
      </c>
      <c r="H56" s="506">
        <v>0</v>
      </c>
      <c r="I56" s="506">
        <f>79300+51463.42</f>
        <v>130763.42</v>
      </c>
      <c r="J56" s="507">
        <v>0</v>
      </c>
    </row>
    <row r="57" spans="1:10" ht="47.25" customHeight="1" x14ac:dyDescent="0.2">
      <c r="A57" s="8" t="s">
        <v>137</v>
      </c>
      <c r="B57" s="786" t="s">
        <v>138</v>
      </c>
      <c r="C57" s="5" t="s">
        <v>139</v>
      </c>
      <c r="D57" s="5" t="s">
        <v>140</v>
      </c>
      <c r="E57" s="5" t="s">
        <v>21</v>
      </c>
      <c r="F57" s="5" t="s">
        <v>22</v>
      </c>
      <c r="G57" s="505">
        <f t="shared" si="0"/>
        <v>150000</v>
      </c>
      <c r="H57" s="506">
        <v>150000</v>
      </c>
      <c r="I57" s="506">
        <v>0</v>
      </c>
      <c r="J57" s="507">
        <v>0</v>
      </c>
    </row>
    <row r="58" spans="1:10" x14ac:dyDescent="0.2">
      <c r="A58" s="8"/>
      <c r="B58" s="786"/>
      <c r="C58" s="5"/>
      <c r="D58" s="5"/>
      <c r="E58" s="5"/>
      <c r="F58" s="5"/>
      <c r="G58" s="505"/>
      <c r="H58" s="506"/>
      <c r="I58" s="506"/>
      <c r="J58" s="507"/>
    </row>
    <row r="59" spans="1:10" ht="34.9" customHeight="1" x14ac:dyDescent="0.2">
      <c r="A59" s="7" t="s">
        <v>141</v>
      </c>
      <c r="B59" s="4" t="s">
        <v>16</v>
      </c>
      <c r="C59" s="4" t="s">
        <v>16</v>
      </c>
      <c r="D59" s="4" t="s">
        <v>142</v>
      </c>
      <c r="E59" s="4" t="s">
        <v>16</v>
      </c>
      <c r="F59" s="4" t="s">
        <v>16</v>
      </c>
      <c r="G59" s="504">
        <f>SUM(G60:G77)</f>
        <v>6424277.3600000003</v>
      </c>
      <c r="H59" s="504">
        <f>SUM(H60:H77)</f>
        <v>2626784.3600000003</v>
      </c>
      <c r="I59" s="504">
        <f>SUM(I60:I77)</f>
        <v>3797493</v>
      </c>
      <c r="J59" s="530">
        <f>SUM(J60:J77)</f>
        <v>1970291</v>
      </c>
    </row>
    <row r="60" spans="1:10" ht="42.75" customHeight="1" x14ac:dyDescent="0.2">
      <c r="A60" s="8" t="s">
        <v>143</v>
      </c>
      <c r="B60" s="786" t="s">
        <v>53</v>
      </c>
      <c r="C60" s="5" t="s">
        <v>144</v>
      </c>
      <c r="D60" s="5" t="s">
        <v>145</v>
      </c>
      <c r="E60" s="5" t="s">
        <v>49</v>
      </c>
      <c r="F60" s="5" t="s">
        <v>50</v>
      </c>
      <c r="G60" s="505">
        <f t="shared" si="0"/>
        <v>750000</v>
      </c>
      <c r="H60" s="506">
        <v>500000</v>
      </c>
      <c r="I60" s="506">
        <v>250000</v>
      </c>
      <c r="J60" s="507">
        <v>0</v>
      </c>
    </row>
    <row r="61" spans="1:10" ht="57.75" customHeight="1" x14ac:dyDescent="0.2">
      <c r="A61" s="8" t="s">
        <v>143</v>
      </c>
      <c r="B61" s="786" t="s">
        <v>53</v>
      </c>
      <c r="C61" s="5" t="s">
        <v>144</v>
      </c>
      <c r="D61" s="5" t="s">
        <v>145</v>
      </c>
      <c r="E61" s="5" t="s">
        <v>21</v>
      </c>
      <c r="F61" s="5" t="s">
        <v>876</v>
      </c>
      <c r="G61" s="505">
        <f t="shared" si="0"/>
        <v>1737334</v>
      </c>
      <c r="H61" s="506">
        <f>155000+3600+10212+199000</f>
        <v>367812</v>
      </c>
      <c r="I61" s="506">
        <v>1369522</v>
      </c>
      <c r="J61" s="507" t="s">
        <v>495</v>
      </c>
    </row>
    <row r="62" spans="1:10" ht="41.25" customHeight="1" x14ac:dyDescent="0.2">
      <c r="A62" s="8" t="s">
        <v>146</v>
      </c>
      <c r="B62" s="786" t="s">
        <v>147</v>
      </c>
      <c r="C62" s="5" t="s">
        <v>148</v>
      </c>
      <c r="D62" s="5" t="s">
        <v>149</v>
      </c>
      <c r="E62" s="5" t="s">
        <v>49</v>
      </c>
      <c r="F62" s="5" t="s">
        <v>50</v>
      </c>
      <c r="G62" s="505">
        <f t="shared" si="0"/>
        <v>0</v>
      </c>
      <c r="H62" s="506">
        <f>300000-300000</f>
        <v>0</v>
      </c>
      <c r="I62" s="506">
        <v>0</v>
      </c>
      <c r="J62" s="507">
        <v>0</v>
      </c>
    </row>
    <row r="63" spans="1:10" ht="46.5" customHeight="1" x14ac:dyDescent="0.2">
      <c r="A63" s="8" t="s">
        <v>146</v>
      </c>
      <c r="B63" s="786" t="s">
        <v>147</v>
      </c>
      <c r="C63" s="5" t="s">
        <v>148</v>
      </c>
      <c r="D63" s="5" t="s">
        <v>149</v>
      </c>
      <c r="E63" s="5" t="s">
        <v>21</v>
      </c>
      <c r="F63" s="5" t="s">
        <v>876</v>
      </c>
      <c r="G63" s="505">
        <f t="shared" si="0"/>
        <v>578862</v>
      </c>
      <c r="H63" s="506">
        <f>195000+20000+82342+17208</f>
        <v>314550</v>
      </c>
      <c r="I63" s="506">
        <f>197600+175000+11500-137580+17792</f>
        <v>264312</v>
      </c>
      <c r="J63" s="507">
        <f>175000+11500-137580+17792</f>
        <v>66712</v>
      </c>
    </row>
    <row r="64" spans="1:10" ht="49.5" customHeight="1" x14ac:dyDescent="0.2">
      <c r="A64" s="8" t="s">
        <v>1064</v>
      </c>
      <c r="B64" s="786" t="s">
        <v>1069</v>
      </c>
      <c r="C64" s="5" t="s">
        <v>148</v>
      </c>
      <c r="D64" s="5" t="s">
        <v>442</v>
      </c>
      <c r="E64" s="5" t="s">
        <v>21</v>
      </c>
      <c r="F64" s="5" t="s">
        <v>876</v>
      </c>
      <c r="G64" s="696">
        <f t="shared" si="0"/>
        <v>267752.14</v>
      </c>
      <c r="H64" s="695">
        <f>267752.14-177918</f>
        <v>89834.140000000014</v>
      </c>
      <c r="I64" s="506">
        <v>177918</v>
      </c>
      <c r="J64" s="507">
        <v>177918</v>
      </c>
    </row>
    <row r="65" spans="1:22" ht="38.25" x14ac:dyDescent="0.2">
      <c r="A65" s="8" t="s">
        <v>150</v>
      </c>
      <c r="B65" s="786" t="s">
        <v>29</v>
      </c>
      <c r="C65" s="5" t="s">
        <v>151</v>
      </c>
      <c r="D65" s="5" t="s">
        <v>152</v>
      </c>
      <c r="E65" s="5" t="s">
        <v>49</v>
      </c>
      <c r="F65" s="5" t="s">
        <v>50</v>
      </c>
      <c r="G65" s="505">
        <f t="shared" si="0"/>
        <v>0</v>
      </c>
      <c r="H65" s="506">
        <f>40000+3600-43600</f>
        <v>0</v>
      </c>
      <c r="I65" s="506">
        <v>0</v>
      </c>
      <c r="J65" s="507">
        <v>0</v>
      </c>
    </row>
    <row r="66" spans="1:22" ht="49.5" customHeight="1" x14ac:dyDescent="0.2">
      <c r="A66" s="8" t="s">
        <v>150</v>
      </c>
      <c r="B66" s="786" t="s">
        <v>29</v>
      </c>
      <c r="C66" s="5" t="s">
        <v>151</v>
      </c>
      <c r="D66" s="5" t="s">
        <v>152</v>
      </c>
      <c r="E66" s="5" t="s">
        <v>21</v>
      </c>
      <c r="F66" s="5" t="s">
        <v>876</v>
      </c>
      <c r="G66" s="505">
        <f t="shared" si="0"/>
        <v>21540</v>
      </c>
      <c r="H66" s="506">
        <f>1460+10000</f>
        <v>11460</v>
      </c>
      <c r="I66" s="506">
        <v>10080</v>
      </c>
      <c r="J66" s="507">
        <v>0</v>
      </c>
    </row>
    <row r="67" spans="1:22" ht="54" customHeight="1" x14ac:dyDescent="0.2">
      <c r="A67" s="8" t="s">
        <v>153</v>
      </c>
      <c r="B67" s="786" t="s">
        <v>154</v>
      </c>
      <c r="C67" s="5" t="s">
        <v>155</v>
      </c>
      <c r="D67" s="5" t="s">
        <v>156</v>
      </c>
      <c r="E67" s="5" t="s">
        <v>21</v>
      </c>
      <c r="F67" s="5" t="s">
        <v>22</v>
      </c>
      <c r="G67" s="505">
        <f t="shared" si="0"/>
        <v>59386</v>
      </c>
      <c r="H67" s="506">
        <f>27482+31904</f>
        <v>59386</v>
      </c>
      <c r="I67" s="506"/>
      <c r="J67" s="507"/>
      <c r="K67" s="1"/>
      <c r="L67" s="1"/>
      <c r="M67" s="1"/>
      <c r="N67" s="1"/>
      <c r="O67" s="1"/>
      <c r="P67" s="1"/>
      <c r="Q67" s="1"/>
      <c r="R67" s="1"/>
      <c r="S67" s="1"/>
      <c r="T67" s="1"/>
      <c r="U67" s="1"/>
      <c r="V67" s="1"/>
    </row>
    <row r="68" spans="1:22" ht="51" customHeight="1" x14ac:dyDescent="0.2">
      <c r="A68" s="8" t="s">
        <v>157</v>
      </c>
      <c r="B68" s="786" t="s">
        <v>158</v>
      </c>
      <c r="C68" s="5" t="s">
        <v>155</v>
      </c>
      <c r="D68" s="5" t="s">
        <v>159</v>
      </c>
      <c r="E68" s="5" t="s">
        <v>44</v>
      </c>
      <c r="F68" s="5" t="s">
        <v>45</v>
      </c>
      <c r="G68" s="505">
        <f t="shared" si="0"/>
        <v>156988</v>
      </c>
      <c r="H68" s="506">
        <f>155178+1810</f>
        <v>156988</v>
      </c>
      <c r="I68" s="506">
        <v>0</v>
      </c>
      <c r="J68" s="507">
        <v>0</v>
      </c>
      <c r="K68" s="1"/>
      <c r="L68" s="1"/>
      <c r="M68" s="1"/>
      <c r="N68" s="1"/>
      <c r="O68" s="1"/>
      <c r="P68" s="1"/>
      <c r="Q68" s="1"/>
      <c r="R68" s="1"/>
      <c r="S68" s="1"/>
      <c r="T68" s="1"/>
      <c r="U68" s="1"/>
      <c r="V68" s="1"/>
    </row>
    <row r="69" spans="1:22" ht="55.5" customHeight="1" x14ac:dyDescent="0.2">
      <c r="A69" s="8" t="s">
        <v>157</v>
      </c>
      <c r="B69" s="786" t="s">
        <v>158</v>
      </c>
      <c r="C69" s="5" t="s">
        <v>155</v>
      </c>
      <c r="D69" s="5" t="s">
        <v>159</v>
      </c>
      <c r="E69" s="5" t="s">
        <v>21</v>
      </c>
      <c r="F69" s="5" t="s">
        <v>876</v>
      </c>
      <c r="G69" s="505">
        <f t="shared" si="0"/>
        <v>270000</v>
      </c>
      <c r="H69" s="506">
        <f>300000-30000</f>
        <v>270000</v>
      </c>
      <c r="I69" s="506">
        <v>0</v>
      </c>
      <c r="J69" s="507">
        <v>0</v>
      </c>
      <c r="K69" s="1"/>
      <c r="L69" s="1"/>
      <c r="M69" s="1"/>
      <c r="N69" s="1"/>
      <c r="O69" s="1"/>
      <c r="P69" s="1"/>
      <c r="Q69" s="1"/>
      <c r="R69" s="1"/>
      <c r="S69" s="1"/>
      <c r="T69" s="1"/>
      <c r="U69" s="1"/>
      <c r="V69" s="1"/>
    </row>
    <row r="70" spans="1:22" ht="79.5" customHeight="1" x14ac:dyDescent="0.2">
      <c r="A70" s="8" t="s">
        <v>879</v>
      </c>
      <c r="B70" s="786" t="s">
        <v>952</v>
      </c>
      <c r="C70" s="5" t="s">
        <v>155</v>
      </c>
      <c r="D70" s="5" t="s">
        <v>953</v>
      </c>
      <c r="E70" s="5" t="s">
        <v>21</v>
      </c>
      <c r="F70" s="5" t="s">
        <v>876</v>
      </c>
      <c r="G70" s="505">
        <f t="shared" si="0"/>
        <v>44500</v>
      </c>
      <c r="H70" s="506"/>
      <c r="I70" s="506">
        <v>44500</v>
      </c>
      <c r="J70" s="507">
        <v>44500</v>
      </c>
      <c r="K70" s="1"/>
      <c r="L70" s="1"/>
      <c r="M70" s="1"/>
      <c r="N70" s="1"/>
      <c r="O70" s="1"/>
      <c r="P70" s="1"/>
      <c r="Q70" s="1"/>
      <c r="R70" s="1"/>
      <c r="S70" s="1"/>
      <c r="T70" s="1"/>
      <c r="U70" s="1"/>
      <c r="V70" s="1"/>
    </row>
    <row r="71" spans="1:22" ht="57.75" customHeight="1" x14ac:dyDescent="0.2">
      <c r="A71" s="8" t="s">
        <v>841</v>
      </c>
      <c r="B71" s="786" t="s">
        <v>849</v>
      </c>
      <c r="C71" s="5" t="s">
        <v>155</v>
      </c>
      <c r="D71" s="5" t="s">
        <v>851</v>
      </c>
      <c r="E71" s="5" t="s">
        <v>21</v>
      </c>
      <c r="F71" s="5" t="s">
        <v>876</v>
      </c>
      <c r="G71" s="505">
        <f t="shared" si="0"/>
        <v>99500</v>
      </c>
      <c r="H71" s="506">
        <v>0</v>
      </c>
      <c r="I71" s="506">
        <v>99500</v>
      </c>
      <c r="J71" s="507">
        <v>99500</v>
      </c>
      <c r="K71" s="1"/>
      <c r="L71" s="1"/>
      <c r="M71" s="1"/>
      <c r="N71" s="1"/>
      <c r="O71" s="1"/>
      <c r="P71" s="1"/>
      <c r="Q71" s="1"/>
      <c r="R71" s="1"/>
      <c r="S71" s="1"/>
      <c r="T71" s="1"/>
      <c r="U71" s="1"/>
      <c r="V71" s="1"/>
    </row>
    <row r="72" spans="1:22" ht="58.5" customHeight="1" x14ac:dyDescent="0.2">
      <c r="A72" s="8" t="s">
        <v>845</v>
      </c>
      <c r="B72" s="786" t="s">
        <v>850</v>
      </c>
      <c r="C72" s="5" t="s">
        <v>155</v>
      </c>
      <c r="D72" s="5" t="s">
        <v>852</v>
      </c>
      <c r="E72" s="5" t="s">
        <v>21</v>
      </c>
      <c r="F72" s="5" t="s">
        <v>876</v>
      </c>
      <c r="G72" s="505">
        <f t="shared" si="0"/>
        <v>895500</v>
      </c>
      <c r="H72" s="506"/>
      <c r="I72" s="506">
        <v>895500</v>
      </c>
      <c r="J72" s="507">
        <v>895500</v>
      </c>
      <c r="K72" s="1"/>
      <c r="L72" s="1"/>
      <c r="M72" s="1"/>
      <c r="N72" s="1"/>
      <c r="O72" s="1"/>
      <c r="P72" s="1"/>
      <c r="Q72" s="1"/>
      <c r="R72" s="1"/>
      <c r="S72" s="1"/>
      <c r="T72" s="1"/>
      <c r="U72" s="1"/>
      <c r="V72" s="1"/>
    </row>
    <row r="73" spans="1:22" ht="63.75" x14ac:dyDescent="0.2">
      <c r="A73" s="8" t="s">
        <v>811</v>
      </c>
      <c r="B73" s="786" t="s">
        <v>817</v>
      </c>
      <c r="C73" s="5" t="s">
        <v>155</v>
      </c>
      <c r="D73" s="5" t="s">
        <v>818</v>
      </c>
      <c r="E73" s="5" t="s">
        <v>21</v>
      </c>
      <c r="F73" s="5" t="s">
        <v>876</v>
      </c>
      <c r="G73" s="505">
        <f t="shared" si="0"/>
        <v>212753</v>
      </c>
      <c r="H73" s="506">
        <v>212753</v>
      </c>
      <c r="I73" s="506">
        <v>0</v>
      </c>
      <c r="J73" s="507">
        <v>0</v>
      </c>
      <c r="K73" s="1"/>
      <c r="L73" s="1"/>
      <c r="M73" s="1"/>
      <c r="N73" s="1"/>
      <c r="O73" s="1"/>
      <c r="P73" s="1"/>
      <c r="Q73" s="1"/>
      <c r="R73" s="1"/>
      <c r="S73" s="1"/>
      <c r="T73" s="1"/>
      <c r="U73" s="1"/>
      <c r="V73" s="1"/>
    </row>
    <row r="74" spans="1:22" ht="55.5" customHeight="1" x14ac:dyDescent="0.2">
      <c r="A74" s="8" t="s">
        <v>454</v>
      </c>
      <c r="B74" s="786" t="s">
        <v>455</v>
      </c>
      <c r="C74" s="5" t="s">
        <v>155</v>
      </c>
      <c r="D74" s="5" t="s">
        <v>456</v>
      </c>
      <c r="E74" s="5" t="s">
        <v>21</v>
      </c>
      <c r="F74" s="5" t="s">
        <v>22</v>
      </c>
      <c r="G74" s="505">
        <f>H74+I74</f>
        <v>619585</v>
      </c>
      <c r="H74" s="695">
        <v>567585</v>
      </c>
      <c r="I74" s="506">
        <v>52000</v>
      </c>
      <c r="J74" s="507">
        <v>52000</v>
      </c>
      <c r="K74" s="1"/>
      <c r="L74" s="1"/>
      <c r="M74" s="1"/>
      <c r="N74" s="1"/>
      <c r="O74" s="1"/>
      <c r="P74" s="1"/>
      <c r="Q74" s="1"/>
      <c r="R74" s="1"/>
      <c r="S74" s="1"/>
      <c r="T74" s="1"/>
      <c r="U74" s="1"/>
      <c r="V74" s="1"/>
    </row>
    <row r="75" spans="1:22" ht="60" customHeight="1" x14ac:dyDescent="0.2">
      <c r="A75" s="8" t="s">
        <v>822</v>
      </c>
      <c r="B75" s="786" t="s">
        <v>823</v>
      </c>
      <c r="C75" s="5" t="s">
        <v>155</v>
      </c>
      <c r="D75" s="5" t="s">
        <v>821</v>
      </c>
      <c r="E75" s="5" t="s">
        <v>21</v>
      </c>
      <c r="F75" s="5" t="s">
        <v>22</v>
      </c>
      <c r="G75" s="696">
        <f>H75+I75</f>
        <v>76416.22</v>
      </c>
      <c r="H75" s="695">
        <v>76416.22</v>
      </c>
      <c r="I75" s="506"/>
      <c r="J75" s="507"/>
      <c r="K75" s="1"/>
      <c r="L75" s="1"/>
      <c r="M75" s="1"/>
      <c r="N75" s="1"/>
      <c r="O75" s="1"/>
      <c r="P75" s="1"/>
      <c r="Q75" s="1"/>
      <c r="R75" s="1"/>
      <c r="S75" s="1"/>
      <c r="T75" s="1"/>
      <c r="U75" s="1"/>
      <c r="V75" s="1"/>
    </row>
    <row r="76" spans="1:22" ht="66.75" hidden="1" customHeight="1" x14ac:dyDescent="0.2">
      <c r="A76" s="8" t="s">
        <v>160</v>
      </c>
      <c r="B76" s="786" t="s">
        <v>47</v>
      </c>
      <c r="C76" s="5" t="s">
        <v>39</v>
      </c>
      <c r="D76" s="5" t="s">
        <v>48</v>
      </c>
      <c r="E76" s="5" t="s">
        <v>49</v>
      </c>
      <c r="F76" s="5" t="s">
        <v>50</v>
      </c>
      <c r="G76" s="505">
        <f t="shared" si="0"/>
        <v>0</v>
      </c>
      <c r="H76" s="506">
        <f>195000-195000</f>
        <v>0</v>
      </c>
      <c r="I76" s="506">
        <v>0</v>
      </c>
      <c r="J76" s="507">
        <v>0</v>
      </c>
      <c r="K76" s="1"/>
      <c r="L76" s="1"/>
      <c r="M76" s="1"/>
      <c r="N76" s="1"/>
      <c r="O76" s="1"/>
      <c r="P76" s="1"/>
      <c r="Q76" s="1"/>
      <c r="R76" s="1"/>
      <c r="S76" s="1"/>
      <c r="T76" s="1"/>
      <c r="U76" s="1"/>
      <c r="V76" s="1"/>
    </row>
    <row r="77" spans="1:22" ht="49.5" customHeight="1" x14ac:dyDescent="0.2">
      <c r="A77" s="8" t="s">
        <v>552</v>
      </c>
      <c r="B77" s="786" t="s">
        <v>553</v>
      </c>
      <c r="C77" s="5" t="s">
        <v>172</v>
      </c>
      <c r="D77" s="5" t="s">
        <v>554</v>
      </c>
      <c r="E77" s="5" t="s">
        <v>21</v>
      </c>
      <c r="F77" s="5" t="s">
        <v>22</v>
      </c>
      <c r="G77" s="505">
        <f t="shared" si="0"/>
        <v>634161</v>
      </c>
      <c r="H77" s="506">
        <f>195000-195000</f>
        <v>0</v>
      </c>
      <c r="I77" s="506">
        <f>49500+584661</f>
        <v>634161</v>
      </c>
      <c r="J77" s="507">
        <f>49500+584661</f>
        <v>634161</v>
      </c>
      <c r="K77" s="1"/>
      <c r="L77" s="1"/>
      <c r="M77" s="1"/>
      <c r="N77" s="1"/>
      <c r="O77" s="1"/>
      <c r="P77" s="1"/>
      <c r="Q77" s="1"/>
      <c r="R77" s="1"/>
      <c r="S77" s="1"/>
      <c r="T77" s="1"/>
      <c r="U77" s="1"/>
      <c r="V77" s="1"/>
    </row>
    <row r="78" spans="1:22" ht="34.15" customHeight="1" x14ac:dyDescent="0.2">
      <c r="A78" s="7" t="s">
        <v>641</v>
      </c>
      <c r="B78" s="529"/>
      <c r="C78" s="4"/>
      <c r="D78" s="4" t="s">
        <v>642</v>
      </c>
      <c r="E78" s="5"/>
      <c r="F78" s="687"/>
      <c r="G78" s="707">
        <f t="shared" ref="G78" si="1">SUM(G80:G98)-G81-G85-G83+G99</f>
        <v>14672399.149999999</v>
      </c>
      <c r="H78" s="707">
        <f>SUM(H80:H98)-H81-H85-H83+H99</f>
        <v>10432145.15</v>
      </c>
      <c r="I78" s="707">
        <f t="shared" ref="I78:J78" si="2">SUM(I80:I98)-I81-I85-I83+I99</f>
        <v>4240254</v>
      </c>
      <c r="J78" s="789">
        <f t="shared" si="2"/>
        <v>4180254</v>
      </c>
      <c r="K78" s="1"/>
      <c r="L78" s="1"/>
      <c r="M78" s="1"/>
      <c r="N78" s="1"/>
      <c r="O78" s="1"/>
      <c r="P78" s="1"/>
      <c r="Q78" s="1"/>
      <c r="R78" s="1"/>
      <c r="S78" s="1"/>
      <c r="T78" s="1"/>
      <c r="U78" s="1"/>
      <c r="V78" s="1"/>
    </row>
    <row r="79" spans="1:22" ht="25.5" hidden="1" customHeight="1" x14ac:dyDescent="0.2">
      <c r="A79" s="8"/>
      <c r="B79" s="786"/>
      <c r="C79" s="5"/>
      <c r="D79" s="5" t="s">
        <v>398</v>
      </c>
      <c r="E79" s="5"/>
      <c r="F79" s="5"/>
      <c r="G79" s="505">
        <f t="shared" si="0"/>
        <v>0</v>
      </c>
      <c r="H79" s="506"/>
      <c r="I79" s="506"/>
      <c r="J79" s="507"/>
      <c r="K79" s="1"/>
      <c r="L79" s="1"/>
      <c r="M79" s="1"/>
      <c r="N79" s="1"/>
      <c r="O79" s="1"/>
      <c r="P79" s="1"/>
      <c r="Q79" s="1"/>
      <c r="R79" s="1"/>
      <c r="S79" s="1"/>
      <c r="T79" s="1"/>
      <c r="U79" s="1"/>
      <c r="V79" s="1"/>
    </row>
    <row r="80" spans="1:22" ht="106.5" customHeight="1" x14ac:dyDescent="0.2">
      <c r="A80" s="8" t="s">
        <v>614</v>
      </c>
      <c r="B80" s="786" t="s">
        <v>390</v>
      </c>
      <c r="C80" s="5" t="s">
        <v>391</v>
      </c>
      <c r="D80" s="5" t="s">
        <v>392</v>
      </c>
      <c r="E80" s="5" t="s">
        <v>646</v>
      </c>
      <c r="F80" s="5" t="s">
        <v>877</v>
      </c>
      <c r="G80" s="505">
        <f t="shared" si="0"/>
        <v>7457537.1500000004</v>
      </c>
      <c r="H80" s="506">
        <f>3645000+240000+245669.15+9000+350000+1000000-400000-24636+11500</f>
        <v>5076533.1500000004</v>
      </c>
      <c r="I80" s="506">
        <f>1259179+1121825</f>
        <v>2381004</v>
      </c>
      <c r="J80" s="507">
        <f>1259179+1121825</f>
        <v>2381004</v>
      </c>
      <c r="K80" s="431">
        <f>H80-H81</f>
        <v>3261169.1500000004</v>
      </c>
      <c r="L80" s="431">
        <f>I80-I81</f>
        <v>1121825</v>
      </c>
      <c r="M80" s="431">
        <f>K80+L80</f>
        <v>4382994.1500000004</v>
      </c>
      <c r="N80" s="1" t="s">
        <v>1001</v>
      </c>
      <c r="O80" s="1"/>
      <c r="P80" s="1"/>
      <c r="Q80" s="1"/>
      <c r="R80" s="1"/>
      <c r="S80" s="1"/>
      <c r="T80" s="1"/>
      <c r="U80" s="1"/>
      <c r="V80" s="1"/>
    </row>
    <row r="81" spans="1:22" ht="30.75" customHeight="1" x14ac:dyDescent="0.2">
      <c r="A81" s="8"/>
      <c r="B81" s="786"/>
      <c r="C81" s="5"/>
      <c r="D81" s="5" t="s">
        <v>398</v>
      </c>
      <c r="E81" s="3"/>
      <c r="F81" s="687"/>
      <c r="G81" s="505">
        <f t="shared" si="0"/>
        <v>3074543</v>
      </c>
      <c r="H81" s="506">
        <f>1000000+240000+1000000-400000-24636</f>
        <v>1815364</v>
      </c>
      <c r="I81" s="506">
        <v>1259179</v>
      </c>
      <c r="J81" s="507">
        <v>1259179</v>
      </c>
      <c r="K81" s="431">
        <f>H80+H82</f>
        <v>5101169.1500000004</v>
      </c>
      <c r="L81" s="1"/>
      <c r="M81" s="431">
        <f>K81+I80</f>
        <v>7482173.1500000004</v>
      </c>
      <c r="N81" s="1" t="s">
        <v>998</v>
      </c>
      <c r="O81" s="1">
        <v>5089669.1500000004</v>
      </c>
      <c r="P81" s="431">
        <f>O81-K81</f>
        <v>-11500</v>
      </c>
      <c r="Q81" s="1"/>
      <c r="R81" s="1"/>
      <c r="S81" s="1"/>
      <c r="T81" s="1"/>
      <c r="U81" s="1"/>
      <c r="V81" s="431"/>
    </row>
    <row r="82" spans="1:22" ht="51.75" customHeight="1" x14ac:dyDescent="0.2">
      <c r="A82" s="8" t="s">
        <v>614</v>
      </c>
      <c r="B82" s="786" t="s">
        <v>390</v>
      </c>
      <c r="C82" s="5" t="s">
        <v>391</v>
      </c>
      <c r="D82" s="5" t="s">
        <v>392</v>
      </c>
      <c r="E82" s="723" t="s">
        <v>965</v>
      </c>
      <c r="F82" s="5" t="s">
        <v>966</v>
      </c>
      <c r="G82" s="505">
        <f t="shared" si="0"/>
        <v>24636</v>
      </c>
      <c r="H82" s="506">
        <v>24636</v>
      </c>
      <c r="I82" s="506"/>
      <c r="J82" s="507"/>
      <c r="K82" s="431">
        <f>H81+H82</f>
        <v>1840000</v>
      </c>
      <c r="L82" s="1"/>
      <c r="M82" s="431">
        <f>K82+I81</f>
        <v>3099179</v>
      </c>
      <c r="N82" s="1" t="s">
        <v>1002</v>
      </c>
      <c r="O82" s="1"/>
      <c r="P82" s="1"/>
      <c r="Q82" s="1"/>
      <c r="R82" s="1"/>
      <c r="S82" s="1"/>
      <c r="T82" s="1"/>
      <c r="U82" s="1"/>
      <c r="V82" s="431"/>
    </row>
    <row r="83" spans="1:22" ht="25.5" x14ac:dyDescent="0.2">
      <c r="A83" s="8"/>
      <c r="B83" s="786"/>
      <c r="C83" s="5"/>
      <c r="D83" s="5" t="s">
        <v>398</v>
      </c>
      <c r="E83" s="3"/>
      <c r="F83" s="687"/>
      <c r="G83" s="505">
        <f t="shared" si="0"/>
        <v>24636</v>
      </c>
      <c r="H83" s="506">
        <v>24636</v>
      </c>
      <c r="I83" s="506"/>
      <c r="J83" s="507"/>
      <c r="K83" s="431">
        <f>K81-K82</f>
        <v>3261169.1500000004</v>
      </c>
      <c r="L83" s="1"/>
      <c r="M83" s="431">
        <f>G80+G82</f>
        <v>7482173.1500000004</v>
      </c>
      <c r="N83" s="1"/>
      <c r="O83" s="1"/>
      <c r="P83" s="1"/>
      <c r="Q83" s="1"/>
      <c r="R83" s="1"/>
      <c r="S83" s="1"/>
      <c r="T83" s="1"/>
      <c r="U83" s="1"/>
      <c r="V83" s="431"/>
    </row>
    <row r="84" spans="1:22" ht="110.25" customHeight="1" x14ac:dyDescent="0.2">
      <c r="A84" s="430" t="s">
        <v>615</v>
      </c>
      <c r="B84" s="786" t="s">
        <v>393</v>
      </c>
      <c r="C84" s="5" t="s">
        <v>394</v>
      </c>
      <c r="D84" s="5" t="s">
        <v>395</v>
      </c>
      <c r="E84" s="5" t="s">
        <v>646</v>
      </c>
      <c r="F84" s="5" t="s">
        <v>877</v>
      </c>
      <c r="G84" s="505">
        <f t="shared" si="0"/>
        <v>4036269</v>
      </c>
      <c r="H84" s="506">
        <f>2449300+15000+187000+301509+7685+96921+225854+103000+50000+80000+400000+120000</f>
        <v>4036269</v>
      </c>
      <c r="I84" s="506"/>
      <c r="J84" s="507"/>
      <c r="K84" s="431">
        <f>H84</f>
        <v>4036269</v>
      </c>
      <c r="L84" s="1"/>
      <c r="M84" s="1"/>
      <c r="N84" s="1" t="s">
        <v>999</v>
      </c>
      <c r="O84" s="1">
        <v>3916269</v>
      </c>
      <c r="P84" s="431">
        <f>O84-K84</f>
        <v>-120000</v>
      </c>
      <c r="Q84" s="1"/>
      <c r="R84" s="1"/>
      <c r="S84" s="1"/>
      <c r="T84" s="1"/>
      <c r="U84" s="1"/>
      <c r="V84" s="431"/>
    </row>
    <row r="85" spans="1:22" s="1" customFormat="1" ht="28.5" customHeight="1" x14ac:dyDescent="0.2">
      <c r="A85" s="8"/>
      <c r="B85" s="786"/>
      <c r="C85" s="5"/>
      <c r="D85" s="5" t="s">
        <v>398</v>
      </c>
      <c r="E85" s="687"/>
      <c r="F85" s="5"/>
      <c r="G85" s="505">
        <f t="shared" si="0"/>
        <v>2888839</v>
      </c>
      <c r="H85" s="506">
        <f>1855300+15000+187000+7685+225854+103000+400000+95000</f>
        <v>2888839</v>
      </c>
      <c r="I85" s="506"/>
      <c r="J85" s="507"/>
      <c r="K85" s="431">
        <f>H84-H85</f>
        <v>1147430</v>
      </c>
      <c r="N85" s="1" t="s">
        <v>1003</v>
      </c>
    </row>
    <row r="86" spans="1:22" s="1" customFormat="1" ht="99.75" customHeight="1" x14ac:dyDescent="0.2">
      <c r="A86" s="8" t="s">
        <v>686</v>
      </c>
      <c r="B86" s="786" t="s">
        <v>400</v>
      </c>
      <c r="C86" s="5" t="s">
        <v>401</v>
      </c>
      <c r="D86" s="5" t="s">
        <v>402</v>
      </c>
      <c r="E86" s="5" t="s">
        <v>646</v>
      </c>
      <c r="F86" s="5" t="s">
        <v>877</v>
      </c>
      <c r="G86" s="505"/>
      <c r="H86" s="506"/>
      <c r="I86" s="506"/>
      <c r="J86" s="507"/>
      <c r="K86" s="431"/>
    </row>
    <row r="87" spans="1:22" s="1" customFormat="1" ht="28.5" customHeight="1" x14ac:dyDescent="0.2">
      <c r="A87" s="8"/>
      <c r="B87" s="786"/>
      <c r="C87" s="5"/>
      <c r="D87" s="5" t="s">
        <v>359</v>
      </c>
      <c r="E87" s="687"/>
      <c r="F87" s="5"/>
      <c r="G87" s="505"/>
      <c r="H87" s="506"/>
      <c r="I87" s="506"/>
      <c r="J87" s="507"/>
      <c r="K87" s="431"/>
    </row>
    <row r="88" spans="1:22" s="1" customFormat="1" ht="62.25" customHeight="1" x14ac:dyDescent="0.2">
      <c r="A88" s="8"/>
      <c r="B88" s="786"/>
      <c r="C88" s="5"/>
      <c r="D88" s="5" t="s">
        <v>403</v>
      </c>
      <c r="E88" s="687"/>
      <c r="F88" s="5"/>
      <c r="G88" s="505"/>
      <c r="H88" s="506"/>
      <c r="I88" s="506"/>
      <c r="J88" s="507"/>
      <c r="K88" s="431"/>
    </row>
    <row r="89" spans="1:22" s="1" customFormat="1" ht="45" customHeight="1" x14ac:dyDescent="0.2">
      <c r="A89" s="430" t="s">
        <v>691</v>
      </c>
      <c r="B89" s="786" t="s">
        <v>28</v>
      </c>
      <c r="C89" s="5" t="s">
        <v>29</v>
      </c>
      <c r="D89" s="5" t="s">
        <v>30</v>
      </c>
      <c r="E89" s="5" t="s">
        <v>31</v>
      </c>
      <c r="F89" s="5" t="s">
        <v>32</v>
      </c>
      <c r="G89" s="505">
        <f t="shared" si="0"/>
        <v>12000</v>
      </c>
      <c r="H89" s="506">
        <v>12000</v>
      </c>
      <c r="I89" s="506">
        <v>0</v>
      </c>
      <c r="J89" s="507">
        <v>0</v>
      </c>
      <c r="K89" s="431">
        <f>K81+K84</f>
        <v>9137438.1500000004</v>
      </c>
      <c r="M89" s="431">
        <f>K84+M83</f>
        <v>11518442.15</v>
      </c>
      <c r="N89" s="1" t="s">
        <v>1000</v>
      </c>
    </row>
    <row r="90" spans="1:22" s="1" customFormat="1" ht="60" customHeight="1" x14ac:dyDescent="0.2">
      <c r="A90" s="430" t="s">
        <v>689</v>
      </c>
      <c r="B90" s="786" t="s">
        <v>34</v>
      </c>
      <c r="C90" s="5" t="s">
        <v>35</v>
      </c>
      <c r="D90" s="5" t="s">
        <v>36</v>
      </c>
      <c r="E90" s="5" t="s">
        <v>31</v>
      </c>
      <c r="F90" s="5" t="s">
        <v>32</v>
      </c>
      <c r="G90" s="505">
        <f t="shared" si="0"/>
        <v>125700</v>
      </c>
      <c r="H90" s="506">
        <f>60000+5700</f>
        <v>65700</v>
      </c>
      <c r="I90" s="506">
        <v>60000</v>
      </c>
      <c r="J90" s="507">
        <v>0</v>
      </c>
      <c r="K90" s="431">
        <f>K85+K80</f>
        <v>4408599.1500000004</v>
      </c>
      <c r="L90" s="431">
        <f>L85+L80</f>
        <v>1121825</v>
      </c>
      <c r="M90" s="431">
        <f>K90+L90</f>
        <v>5530424.1500000004</v>
      </c>
      <c r="N90" s="1" t="s">
        <v>1004</v>
      </c>
    </row>
    <row r="91" spans="1:22" s="1" customFormat="1" ht="62.25" customHeight="1" x14ac:dyDescent="0.2">
      <c r="A91" s="430" t="s">
        <v>692</v>
      </c>
      <c r="B91" s="786" t="s">
        <v>47</v>
      </c>
      <c r="C91" s="5" t="s">
        <v>39</v>
      </c>
      <c r="D91" s="5" t="s">
        <v>48</v>
      </c>
      <c r="E91" s="5" t="s">
        <v>49</v>
      </c>
      <c r="F91" s="5" t="s">
        <v>50</v>
      </c>
      <c r="G91" s="505">
        <f t="shared" si="0"/>
        <v>194040</v>
      </c>
      <c r="H91" s="506">
        <f>195000+195000-195000-960</f>
        <v>194040</v>
      </c>
      <c r="I91" s="506">
        <v>0</v>
      </c>
      <c r="J91" s="507">
        <v>0</v>
      </c>
      <c r="K91" s="431">
        <f>K82+H85</f>
        <v>4728839</v>
      </c>
      <c r="L91" s="431">
        <f>I81</f>
        <v>1259179</v>
      </c>
      <c r="M91" s="431">
        <f>K91+L91</f>
        <v>5988018</v>
      </c>
      <c r="N91" s="1" t="s">
        <v>1005</v>
      </c>
    </row>
    <row r="92" spans="1:22" s="1" customFormat="1" ht="69" customHeight="1" x14ac:dyDescent="0.2">
      <c r="A92" s="553" t="s">
        <v>693</v>
      </c>
      <c r="B92" s="786" t="s">
        <v>52</v>
      </c>
      <c r="C92" s="5" t="s">
        <v>53</v>
      </c>
      <c r="D92" s="5" t="s">
        <v>54</v>
      </c>
      <c r="E92" s="5" t="s">
        <v>31</v>
      </c>
      <c r="F92" s="5" t="s">
        <v>32</v>
      </c>
      <c r="G92" s="505">
        <f t="shared" si="0"/>
        <v>98467</v>
      </c>
      <c r="H92" s="506">
        <f>35000+8467+55000</f>
        <v>98467</v>
      </c>
      <c r="I92" s="506">
        <v>0</v>
      </c>
      <c r="J92" s="507">
        <v>0</v>
      </c>
    </row>
    <row r="93" spans="1:22" s="1" customFormat="1" ht="48" customHeight="1" x14ac:dyDescent="0.2">
      <c r="A93" s="553" t="s">
        <v>694</v>
      </c>
      <c r="B93" s="786" t="s">
        <v>56</v>
      </c>
      <c r="C93" s="5" t="s">
        <v>57</v>
      </c>
      <c r="D93" s="5" t="s">
        <v>58</v>
      </c>
      <c r="E93" s="5" t="s">
        <v>31</v>
      </c>
      <c r="F93" s="5" t="s">
        <v>32</v>
      </c>
      <c r="G93" s="505">
        <f t="shared" si="0"/>
        <v>40500</v>
      </c>
      <c r="H93" s="506">
        <f>35600+4900</f>
        <v>40500</v>
      </c>
      <c r="I93" s="506">
        <v>0</v>
      </c>
      <c r="J93" s="507">
        <v>0</v>
      </c>
    </row>
    <row r="94" spans="1:22" s="1" customFormat="1" ht="51" customHeight="1" x14ac:dyDescent="0.2">
      <c r="A94" s="553" t="s">
        <v>684</v>
      </c>
      <c r="B94" s="786">
        <v>3192</v>
      </c>
      <c r="C94" s="5">
        <v>1030</v>
      </c>
      <c r="D94" s="5" t="s">
        <v>411</v>
      </c>
      <c r="E94" s="5" t="s">
        <v>31</v>
      </c>
      <c r="F94" s="5" t="s">
        <v>32</v>
      </c>
      <c r="G94" s="505">
        <f t="shared" si="0"/>
        <v>90000</v>
      </c>
      <c r="H94" s="506">
        <v>90000</v>
      </c>
      <c r="I94" s="506">
        <v>0</v>
      </c>
      <c r="J94" s="507">
        <v>0</v>
      </c>
    </row>
    <row r="95" spans="1:22" s="1" customFormat="1" ht="38.25" hidden="1" x14ac:dyDescent="0.2">
      <c r="A95" s="553" t="s">
        <v>695</v>
      </c>
      <c r="B95" s="786" t="s">
        <v>60</v>
      </c>
      <c r="C95" s="5" t="s">
        <v>61</v>
      </c>
      <c r="D95" s="5" t="s">
        <v>62</v>
      </c>
      <c r="E95" s="5" t="s">
        <v>31</v>
      </c>
      <c r="F95" s="5" t="s">
        <v>32</v>
      </c>
      <c r="G95" s="505">
        <f t="shared" si="0"/>
        <v>0</v>
      </c>
      <c r="H95" s="506">
        <f>249000-249000</f>
        <v>0</v>
      </c>
      <c r="I95" s="506">
        <v>0</v>
      </c>
      <c r="J95" s="507">
        <v>0</v>
      </c>
    </row>
    <row r="96" spans="1:22" s="1" customFormat="1" ht="74.25" customHeight="1" x14ac:dyDescent="0.2">
      <c r="A96" s="553" t="s">
        <v>696</v>
      </c>
      <c r="B96" s="786" t="s">
        <v>64</v>
      </c>
      <c r="C96" s="5" t="s">
        <v>65</v>
      </c>
      <c r="D96" s="5" t="s">
        <v>66</v>
      </c>
      <c r="E96" s="5" t="s">
        <v>67</v>
      </c>
      <c r="F96" s="5" t="s">
        <v>68</v>
      </c>
      <c r="G96" s="505">
        <f t="shared" si="0"/>
        <v>165000</v>
      </c>
      <c r="H96" s="506">
        <f>100000+65000</f>
        <v>165000</v>
      </c>
      <c r="I96" s="506">
        <v>0</v>
      </c>
      <c r="J96" s="507">
        <v>0</v>
      </c>
    </row>
    <row r="97" spans="1:22" s="1" customFormat="1" ht="51.75" customHeight="1" x14ac:dyDescent="0.2">
      <c r="A97" s="553" t="s">
        <v>696</v>
      </c>
      <c r="B97" s="786" t="s">
        <v>64</v>
      </c>
      <c r="C97" s="5" t="s">
        <v>65</v>
      </c>
      <c r="D97" s="5" t="s">
        <v>66</v>
      </c>
      <c r="E97" s="5" t="s">
        <v>21</v>
      </c>
      <c r="F97" s="5" t="s">
        <v>876</v>
      </c>
      <c r="G97" s="505">
        <f t="shared" si="0"/>
        <v>70000</v>
      </c>
      <c r="H97" s="506">
        <v>70000</v>
      </c>
      <c r="I97" s="506">
        <v>0</v>
      </c>
      <c r="J97" s="507">
        <v>0</v>
      </c>
    </row>
    <row r="98" spans="1:22" s="1" customFormat="1" ht="48" customHeight="1" x14ac:dyDescent="0.2">
      <c r="A98" s="553" t="s">
        <v>696</v>
      </c>
      <c r="B98" s="786" t="s">
        <v>64</v>
      </c>
      <c r="C98" s="5" t="s">
        <v>65</v>
      </c>
      <c r="D98" s="5" t="s">
        <v>66</v>
      </c>
      <c r="E98" s="5" t="s">
        <v>31</v>
      </c>
      <c r="F98" s="5" t="s">
        <v>32</v>
      </c>
      <c r="G98" s="505">
        <f t="shared" si="0"/>
        <v>559000</v>
      </c>
      <c r="H98" s="506">
        <f>450000+94000+15000</f>
        <v>559000</v>
      </c>
      <c r="I98" s="506">
        <v>0</v>
      </c>
      <c r="J98" s="507">
        <v>0</v>
      </c>
    </row>
    <row r="99" spans="1:22" s="1" customFormat="1" ht="85.5" customHeight="1" x14ac:dyDescent="0.2">
      <c r="A99" s="553" t="s">
        <v>1073</v>
      </c>
      <c r="B99" s="786" t="s">
        <v>1070</v>
      </c>
      <c r="C99" s="5" t="s">
        <v>1071</v>
      </c>
      <c r="D99" s="5" t="s">
        <v>1072</v>
      </c>
      <c r="E99" s="782" t="s">
        <v>1084</v>
      </c>
      <c r="F99" s="782" t="s">
        <v>1085</v>
      </c>
      <c r="G99" s="505">
        <f t="shared" si="0"/>
        <v>1799250</v>
      </c>
      <c r="H99" s="506"/>
      <c r="I99" s="506">
        <v>1799250</v>
      </c>
      <c r="J99" s="507">
        <v>1799250</v>
      </c>
    </row>
    <row r="100" spans="1:22" s="1" customFormat="1" ht="32.25" customHeight="1" x14ac:dyDescent="0.2">
      <c r="A100" s="7" t="s">
        <v>161</v>
      </c>
      <c r="B100" s="529" t="s">
        <v>16</v>
      </c>
      <c r="C100" s="4" t="s">
        <v>16</v>
      </c>
      <c r="D100" s="4" t="s">
        <v>162</v>
      </c>
      <c r="E100" s="4" t="s">
        <v>16</v>
      </c>
      <c r="F100" s="4" t="s">
        <v>16</v>
      </c>
      <c r="G100" s="504">
        <f>SUM(G101:G108)</f>
        <v>765116</v>
      </c>
      <c r="H100" s="504">
        <f>SUM(H101:H108)</f>
        <v>588820</v>
      </c>
      <c r="I100" s="504">
        <f>SUM(I101:I108)</f>
        <v>176296</v>
      </c>
      <c r="J100" s="530">
        <f>SUM(J101:J108)</f>
        <v>47000</v>
      </c>
    </row>
    <row r="101" spans="1:22" s="1" customFormat="1" ht="49.5" customHeight="1" x14ac:dyDescent="0.2">
      <c r="A101" s="8" t="s">
        <v>458</v>
      </c>
      <c r="B101" s="786" t="s">
        <v>436</v>
      </c>
      <c r="C101" s="5" t="s">
        <v>19</v>
      </c>
      <c r="D101" s="554" t="s">
        <v>437</v>
      </c>
      <c r="E101" s="5" t="s">
        <v>21</v>
      </c>
      <c r="F101" s="5" t="s">
        <v>876</v>
      </c>
      <c r="G101" s="505">
        <f t="shared" si="0"/>
        <v>1500</v>
      </c>
      <c r="H101" s="505">
        <v>1500</v>
      </c>
      <c r="I101" s="506">
        <v>0</v>
      </c>
      <c r="J101" s="507">
        <v>0</v>
      </c>
    </row>
    <row r="102" spans="1:22" s="1" customFormat="1" ht="54.75" customHeight="1" x14ac:dyDescent="0.2">
      <c r="A102" s="8" t="s">
        <v>163</v>
      </c>
      <c r="B102" s="786" t="s">
        <v>164</v>
      </c>
      <c r="C102" s="5" t="s">
        <v>151</v>
      </c>
      <c r="D102" s="5" t="s">
        <v>165</v>
      </c>
      <c r="E102" s="5" t="s">
        <v>21</v>
      </c>
      <c r="F102" s="5" t="s">
        <v>876</v>
      </c>
      <c r="G102" s="505">
        <f t="shared" si="0"/>
        <v>417216</v>
      </c>
      <c r="H102" s="506">
        <v>287920</v>
      </c>
      <c r="I102" s="506">
        <v>129296</v>
      </c>
      <c r="J102" s="507">
        <v>0</v>
      </c>
    </row>
    <row r="103" spans="1:22" s="1" customFormat="1" ht="54.75" customHeight="1" x14ac:dyDescent="0.2">
      <c r="A103" s="8" t="s">
        <v>461</v>
      </c>
      <c r="B103" s="786" t="s">
        <v>462</v>
      </c>
      <c r="C103" s="5" t="s">
        <v>463</v>
      </c>
      <c r="D103" s="5" t="s">
        <v>464</v>
      </c>
      <c r="E103" s="5" t="s">
        <v>21</v>
      </c>
      <c r="F103" s="5" t="s">
        <v>876</v>
      </c>
      <c r="G103" s="505">
        <f t="shared" si="0"/>
        <v>47000</v>
      </c>
      <c r="H103" s="506"/>
      <c r="I103" s="506">
        <v>47000</v>
      </c>
      <c r="J103" s="507">
        <v>47000</v>
      </c>
    </row>
    <row r="104" spans="1:22" s="640" customFormat="1" ht="54.75" customHeight="1" x14ac:dyDescent="0.2">
      <c r="A104" s="635" t="s">
        <v>468</v>
      </c>
      <c r="B104" s="636" t="s">
        <v>469</v>
      </c>
      <c r="C104" s="637" t="s">
        <v>470</v>
      </c>
      <c r="D104" s="637" t="s">
        <v>471</v>
      </c>
      <c r="E104" s="637" t="s">
        <v>21</v>
      </c>
      <c r="F104" s="637" t="s">
        <v>876</v>
      </c>
      <c r="G104" s="638">
        <f>H104+I104</f>
        <v>191000</v>
      </c>
      <c r="H104" s="639">
        <f>48000+76500+43000-1500+20000+5000</f>
        <v>191000</v>
      </c>
      <c r="I104" s="506">
        <v>0</v>
      </c>
      <c r="J104" s="507">
        <v>0</v>
      </c>
    </row>
    <row r="105" spans="1:22" s="1" customFormat="1" ht="54.75" customHeight="1" x14ac:dyDescent="0.2">
      <c r="A105" s="8" t="s">
        <v>472</v>
      </c>
      <c r="B105" s="786" t="s">
        <v>473</v>
      </c>
      <c r="C105" s="5" t="s">
        <v>168</v>
      </c>
      <c r="D105" s="5" t="s">
        <v>474</v>
      </c>
      <c r="E105" s="5" t="s">
        <v>21</v>
      </c>
      <c r="F105" s="5" t="s">
        <v>876</v>
      </c>
      <c r="G105" s="505">
        <f>H105+I105</f>
        <v>1500</v>
      </c>
      <c r="H105" s="506">
        <v>1500</v>
      </c>
      <c r="I105" s="506">
        <v>0</v>
      </c>
      <c r="J105" s="507">
        <v>0</v>
      </c>
      <c r="K105"/>
      <c r="L105"/>
      <c r="M105"/>
      <c r="N105"/>
      <c r="O105"/>
      <c r="P105"/>
      <c r="Q105"/>
      <c r="R105"/>
      <c r="S105"/>
      <c r="T105"/>
      <c r="U105"/>
      <c r="V105"/>
    </row>
    <row r="106" spans="1:22" s="1" customFormat="1" ht="45" customHeight="1" x14ac:dyDescent="0.2">
      <c r="A106" s="8" t="s">
        <v>166</v>
      </c>
      <c r="B106" s="786" t="s">
        <v>167</v>
      </c>
      <c r="C106" s="5" t="s">
        <v>168</v>
      </c>
      <c r="D106" s="5" t="s">
        <v>169</v>
      </c>
      <c r="E106" s="5" t="s">
        <v>21</v>
      </c>
      <c r="F106" s="5" t="s">
        <v>876</v>
      </c>
      <c r="G106" s="505">
        <f t="shared" si="0"/>
        <v>42900</v>
      </c>
      <c r="H106" s="506">
        <v>42900</v>
      </c>
      <c r="I106" s="506">
        <v>0</v>
      </c>
      <c r="J106" s="507">
        <v>0</v>
      </c>
      <c r="K106"/>
      <c r="L106"/>
      <c r="M106"/>
      <c r="N106"/>
      <c r="O106"/>
      <c r="P106"/>
      <c r="Q106"/>
      <c r="R106"/>
      <c r="S106"/>
      <c r="T106"/>
      <c r="U106"/>
      <c r="V106"/>
    </row>
    <row r="107" spans="1:22" s="1" customFormat="1" ht="58.5" customHeight="1" x14ac:dyDescent="0.2">
      <c r="A107" s="8" t="s">
        <v>170</v>
      </c>
      <c r="B107" s="786" t="s">
        <v>171</v>
      </c>
      <c r="C107" s="5" t="s">
        <v>172</v>
      </c>
      <c r="D107" s="5" t="s">
        <v>173</v>
      </c>
      <c r="E107" s="5" t="s">
        <v>174</v>
      </c>
      <c r="F107" s="5" t="s">
        <v>175</v>
      </c>
      <c r="G107" s="505">
        <f t="shared" si="0"/>
        <v>49000</v>
      </c>
      <c r="H107" s="506">
        <v>49000</v>
      </c>
      <c r="I107" s="506">
        <v>0</v>
      </c>
      <c r="J107" s="507">
        <v>0</v>
      </c>
      <c r="K107"/>
      <c r="L107"/>
      <c r="M107"/>
      <c r="N107"/>
      <c r="O107"/>
      <c r="P107"/>
      <c r="Q107"/>
      <c r="R107"/>
      <c r="S107"/>
      <c r="T107"/>
      <c r="U107"/>
      <c r="V107"/>
    </row>
    <row r="108" spans="1:22" s="1" customFormat="1" ht="54" customHeight="1" x14ac:dyDescent="0.2">
      <c r="A108" s="8" t="s">
        <v>176</v>
      </c>
      <c r="B108" s="786" t="s">
        <v>177</v>
      </c>
      <c r="C108" s="5" t="s">
        <v>178</v>
      </c>
      <c r="D108" s="5" t="s">
        <v>179</v>
      </c>
      <c r="E108" s="5" t="s">
        <v>180</v>
      </c>
      <c r="F108" s="5" t="s">
        <v>181</v>
      </c>
      <c r="G108" s="505">
        <f>H108+I108</f>
        <v>15000</v>
      </c>
      <c r="H108" s="506">
        <v>15000</v>
      </c>
      <c r="I108" s="506">
        <v>0</v>
      </c>
      <c r="J108" s="507">
        <v>0</v>
      </c>
      <c r="K108"/>
      <c r="L108"/>
      <c r="M108"/>
      <c r="N108"/>
      <c r="O108"/>
      <c r="P108"/>
      <c r="Q108"/>
      <c r="R108"/>
      <c r="S108"/>
      <c r="T108"/>
      <c r="U108"/>
      <c r="V108"/>
    </row>
    <row r="109" spans="1:22" s="1" customFormat="1" ht="31.15" customHeight="1" x14ac:dyDescent="0.2">
      <c r="A109" s="7">
        <v>3700000</v>
      </c>
      <c r="B109" s="529"/>
      <c r="C109" s="4"/>
      <c r="D109" s="4" t="s">
        <v>477</v>
      </c>
      <c r="E109" s="5"/>
      <c r="F109" s="5"/>
      <c r="G109" s="504">
        <f>G110+G111</f>
        <v>1032376</v>
      </c>
      <c r="H109" s="504">
        <f>H110+H111</f>
        <v>50000</v>
      </c>
      <c r="I109" s="504">
        <f>I110+I111</f>
        <v>982376</v>
      </c>
      <c r="J109" s="530">
        <f>J110+J111</f>
        <v>982376</v>
      </c>
      <c r="K109"/>
      <c r="L109"/>
      <c r="M109"/>
      <c r="N109"/>
      <c r="O109"/>
      <c r="P109"/>
      <c r="Q109"/>
      <c r="R109"/>
      <c r="S109"/>
      <c r="T109"/>
      <c r="U109"/>
      <c r="V109"/>
    </row>
    <row r="110" spans="1:22" s="1" customFormat="1" ht="49.5" customHeight="1" x14ac:dyDescent="0.2">
      <c r="A110" s="8" t="s">
        <v>714</v>
      </c>
      <c r="B110" s="786" t="s">
        <v>716</v>
      </c>
      <c r="C110" s="5" t="s">
        <v>24</v>
      </c>
      <c r="D110" s="5" t="s">
        <v>342</v>
      </c>
      <c r="E110" s="5" t="s">
        <v>21</v>
      </c>
      <c r="F110" s="5" t="s">
        <v>876</v>
      </c>
      <c r="G110" s="505">
        <f>H110+I110</f>
        <v>782376</v>
      </c>
      <c r="H110" s="504">
        <v>0</v>
      </c>
      <c r="I110" s="506">
        <f>620000+50000+112376</f>
        <v>782376</v>
      </c>
      <c r="J110" s="507">
        <f>620000+50000+112376</f>
        <v>782376</v>
      </c>
      <c r="K110"/>
      <c r="L110"/>
      <c r="M110"/>
      <c r="N110"/>
      <c r="O110"/>
      <c r="P110"/>
      <c r="Q110"/>
      <c r="R110"/>
      <c r="S110"/>
      <c r="T110"/>
      <c r="U110"/>
      <c r="V110"/>
    </row>
    <row r="111" spans="1:22" s="1" customFormat="1" ht="97.5" customHeight="1" x14ac:dyDescent="0.2">
      <c r="A111" s="8" t="s">
        <v>713</v>
      </c>
      <c r="B111" s="786" t="s">
        <v>701</v>
      </c>
      <c r="C111" s="5" t="s">
        <v>24</v>
      </c>
      <c r="D111" s="5" t="s">
        <v>705</v>
      </c>
      <c r="E111" s="5" t="s">
        <v>763</v>
      </c>
      <c r="F111" s="5" t="s">
        <v>762</v>
      </c>
      <c r="G111" s="505">
        <f>H111+I111</f>
        <v>250000</v>
      </c>
      <c r="H111" s="505">
        <v>50000</v>
      </c>
      <c r="I111" s="506">
        <v>200000</v>
      </c>
      <c r="J111" s="507">
        <v>200000</v>
      </c>
      <c r="K111"/>
      <c r="L111"/>
      <c r="M111"/>
      <c r="N111"/>
      <c r="O111"/>
      <c r="P111"/>
      <c r="Q111"/>
      <c r="R111"/>
      <c r="S111"/>
      <c r="T111"/>
      <c r="U111"/>
      <c r="V111"/>
    </row>
    <row r="112" spans="1:22" s="1" customFormat="1" ht="12.75" hidden="1" customHeight="1" x14ac:dyDescent="0.2">
      <c r="A112" s="8"/>
      <c r="B112" s="786"/>
      <c r="C112" s="5"/>
      <c r="D112" s="5"/>
      <c r="E112" s="5"/>
      <c r="F112" s="5"/>
      <c r="G112" s="505"/>
      <c r="H112" s="506"/>
      <c r="I112" s="506"/>
      <c r="J112" s="507"/>
      <c r="K112"/>
      <c r="L112"/>
      <c r="M112"/>
      <c r="N112"/>
      <c r="O112"/>
      <c r="P112"/>
      <c r="Q112"/>
      <c r="R112"/>
      <c r="S112"/>
      <c r="T112"/>
      <c r="U112"/>
      <c r="V112"/>
    </row>
    <row r="113" spans="1:22" s="1" customFormat="1" ht="12.75" hidden="1" customHeight="1" x14ac:dyDescent="0.2">
      <c r="A113" s="8"/>
      <c r="B113" s="786"/>
      <c r="C113" s="5"/>
      <c r="D113" s="5"/>
      <c r="E113" s="5"/>
      <c r="F113" s="5"/>
      <c r="G113" s="505"/>
      <c r="H113" s="506"/>
      <c r="I113" s="506"/>
      <c r="J113" s="507"/>
      <c r="K113"/>
      <c r="L113"/>
      <c r="M113"/>
      <c r="N113"/>
      <c r="O113"/>
      <c r="P113"/>
      <c r="Q113"/>
      <c r="R113"/>
      <c r="S113"/>
      <c r="T113"/>
      <c r="U113"/>
      <c r="V113"/>
    </row>
    <row r="114" spans="1:22" s="1" customFormat="1" ht="12.75" hidden="1" customHeight="1" x14ac:dyDescent="0.2">
      <c r="A114" s="8"/>
      <c r="B114" s="786"/>
      <c r="C114" s="5"/>
      <c r="D114" s="5"/>
      <c r="E114" s="5"/>
      <c r="F114" s="5"/>
      <c r="G114" s="505"/>
      <c r="H114" s="506"/>
      <c r="I114" s="506"/>
      <c r="J114" s="507"/>
      <c r="K114"/>
      <c r="L114"/>
      <c r="M114"/>
      <c r="N114"/>
      <c r="O114"/>
      <c r="P114"/>
      <c r="Q114"/>
      <c r="R114"/>
      <c r="S114"/>
      <c r="T114"/>
      <c r="U114"/>
      <c r="V114"/>
    </row>
    <row r="115" spans="1:22" s="1" customFormat="1" ht="12.75" hidden="1" customHeight="1" x14ac:dyDescent="0.2">
      <c r="A115" s="8"/>
      <c r="B115" s="786"/>
      <c r="C115" s="5"/>
      <c r="D115" s="5"/>
      <c r="E115" s="5"/>
      <c r="F115" s="5"/>
      <c r="G115" s="505"/>
      <c r="H115" s="506"/>
      <c r="I115" s="506"/>
      <c r="J115" s="507"/>
      <c r="K115"/>
      <c r="L115"/>
      <c r="M115"/>
      <c r="N115"/>
      <c r="O115"/>
      <c r="P115"/>
      <c r="Q115"/>
      <c r="R115"/>
      <c r="S115"/>
      <c r="T115"/>
      <c r="U115"/>
      <c r="V115"/>
    </row>
    <row r="116" spans="1:22" s="1" customFormat="1" ht="12.75" hidden="1" customHeight="1" x14ac:dyDescent="0.2">
      <c r="A116" s="8"/>
      <c r="B116" s="786"/>
      <c r="C116" s="5"/>
      <c r="D116" s="5"/>
      <c r="E116" s="5"/>
      <c r="F116" s="5"/>
      <c r="G116" s="505"/>
      <c r="H116" s="506"/>
      <c r="I116" s="506"/>
      <c r="J116" s="507"/>
      <c r="K116"/>
      <c r="L116"/>
      <c r="M116"/>
      <c r="N116"/>
      <c r="O116"/>
      <c r="P116"/>
      <c r="Q116"/>
      <c r="R116"/>
      <c r="S116"/>
      <c r="T116"/>
      <c r="U116"/>
      <c r="V116"/>
    </row>
    <row r="117" spans="1:22" s="1" customFormat="1" hidden="1" x14ac:dyDescent="0.2">
      <c r="A117" s="8"/>
      <c r="B117" s="786"/>
      <c r="C117" s="5"/>
      <c r="D117" s="5"/>
      <c r="E117" s="5"/>
      <c r="F117" s="5"/>
      <c r="G117" s="505"/>
      <c r="H117" s="506"/>
      <c r="I117" s="506"/>
      <c r="J117" s="507"/>
      <c r="K117"/>
      <c r="L117"/>
      <c r="M117"/>
      <c r="N117"/>
      <c r="O117"/>
      <c r="P117"/>
      <c r="Q117"/>
      <c r="R117"/>
      <c r="S117"/>
      <c r="T117"/>
      <c r="U117"/>
      <c r="V117"/>
    </row>
    <row r="118" spans="1:22" s="1" customFormat="1" hidden="1" x14ac:dyDescent="0.2">
      <c r="A118" s="8"/>
      <c r="B118" s="786"/>
      <c r="C118" s="5"/>
      <c r="D118" s="5"/>
      <c r="E118" s="5"/>
      <c r="F118" s="5"/>
      <c r="G118" s="505"/>
      <c r="H118" s="506"/>
      <c r="I118" s="506"/>
      <c r="J118" s="507"/>
      <c r="K118"/>
      <c r="L118"/>
      <c r="M118"/>
      <c r="N118"/>
      <c r="O118"/>
      <c r="P118"/>
      <c r="Q118"/>
      <c r="R118"/>
      <c r="S118"/>
      <c r="T118"/>
      <c r="U118"/>
      <c r="V118"/>
    </row>
    <row r="119" spans="1:22" s="1" customFormat="1" hidden="1" x14ac:dyDescent="0.2">
      <c r="A119" s="8"/>
      <c r="B119" s="786"/>
      <c r="C119" s="5"/>
      <c r="D119" s="5"/>
      <c r="E119" s="5"/>
      <c r="F119" s="5"/>
      <c r="G119" s="505"/>
      <c r="H119" s="506"/>
      <c r="I119" s="506"/>
      <c r="J119" s="507"/>
      <c r="K119"/>
      <c r="L119"/>
      <c r="M119"/>
      <c r="N119"/>
      <c r="O119"/>
      <c r="P119"/>
      <c r="Q119"/>
      <c r="R119"/>
      <c r="S119"/>
      <c r="T119"/>
      <c r="U119"/>
      <c r="V119"/>
    </row>
    <row r="120" spans="1:22" s="1" customFormat="1" hidden="1" x14ac:dyDescent="0.2">
      <c r="A120" s="8"/>
      <c r="B120" s="786"/>
      <c r="C120" s="5"/>
      <c r="D120" s="5"/>
      <c r="E120" s="5"/>
      <c r="F120" s="5"/>
      <c r="G120" s="505"/>
      <c r="H120" s="506"/>
      <c r="I120" s="506"/>
      <c r="J120" s="507"/>
      <c r="K120"/>
      <c r="L120"/>
      <c r="M120"/>
      <c r="N120"/>
      <c r="O120"/>
      <c r="P120"/>
      <c r="Q120"/>
      <c r="R120"/>
      <c r="S120"/>
      <c r="T120"/>
      <c r="U120"/>
      <c r="V120"/>
    </row>
    <row r="121" spans="1:22" s="1" customFormat="1" hidden="1" x14ac:dyDescent="0.2">
      <c r="A121" s="8"/>
      <c r="B121" s="786"/>
      <c r="C121" s="5"/>
      <c r="D121" s="5"/>
      <c r="E121" s="5"/>
      <c r="F121" s="5"/>
      <c r="G121" s="505"/>
      <c r="H121" s="506"/>
      <c r="I121" s="506">
        <v>0</v>
      </c>
      <c r="J121" s="507">
        <v>0</v>
      </c>
      <c r="K121"/>
      <c r="L121"/>
      <c r="M121"/>
      <c r="N121"/>
      <c r="O121"/>
      <c r="P121"/>
      <c r="Q121"/>
      <c r="R121"/>
      <c r="S121"/>
      <c r="T121"/>
      <c r="U121"/>
      <c r="V121"/>
    </row>
    <row r="122" spans="1:22" s="1" customFormat="1" ht="23.25" customHeight="1" thickBot="1" x14ac:dyDescent="0.25">
      <c r="A122" s="509" t="s">
        <v>183</v>
      </c>
      <c r="B122" s="510" t="s">
        <v>183</v>
      </c>
      <c r="C122" s="510" t="s">
        <v>183</v>
      </c>
      <c r="D122" s="511" t="s">
        <v>182</v>
      </c>
      <c r="E122" s="511" t="s">
        <v>183</v>
      </c>
      <c r="F122" s="511" t="s">
        <v>183</v>
      </c>
      <c r="G122" s="508">
        <f>G10+G59+G100+G78+G109</f>
        <v>41406270.009999998</v>
      </c>
      <c r="H122" s="508">
        <f>H10+H59+H100+H78+H109</f>
        <v>27420228.509999998</v>
      </c>
      <c r="I122" s="508">
        <f>I10+I59+I100+I78+I109</f>
        <v>13986041.5</v>
      </c>
      <c r="J122" s="701">
        <f>J10+J59+J100+J78+J109</f>
        <v>9886472</v>
      </c>
      <c r="K122"/>
      <c r="L122"/>
      <c r="M122"/>
      <c r="N122"/>
      <c r="O122"/>
      <c r="P122"/>
      <c r="Q122"/>
      <c r="R122"/>
      <c r="S122"/>
      <c r="T122"/>
      <c r="U122"/>
      <c r="V122"/>
    </row>
    <row r="123" spans="1:22" s="1" customFormat="1" x14ac:dyDescent="0.2">
      <c r="G123" s="431"/>
      <c r="K123"/>
      <c r="L123"/>
      <c r="M123"/>
      <c r="N123"/>
      <c r="O123"/>
      <c r="P123"/>
      <c r="Q123"/>
      <c r="R123"/>
      <c r="S123"/>
      <c r="T123"/>
      <c r="U123"/>
      <c r="V123"/>
    </row>
    <row r="124" spans="1:22" s="1" customFormat="1" x14ac:dyDescent="0.2">
      <c r="J124" s="431"/>
      <c r="K124"/>
      <c r="L124"/>
      <c r="M124"/>
      <c r="N124"/>
      <c r="O124"/>
      <c r="P124"/>
      <c r="Q124"/>
      <c r="R124"/>
      <c r="S124"/>
      <c r="T124"/>
      <c r="U124"/>
      <c r="V124"/>
    </row>
    <row r="125" spans="1:22" s="1" customFormat="1" ht="15.75" x14ac:dyDescent="0.25">
      <c r="D125" s="517" t="s">
        <v>664</v>
      </c>
      <c r="H125" s="517" t="s">
        <v>663</v>
      </c>
      <c r="J125" s="431"/>
      <c r="K125"/>
      <c r="L125"/>
      <c r="M125"/>
      <c r="N125"/>
      <c r="O125"/>
      <c r="P125"/>
      <c r="Q125"/>
      <c r="R125"/>
      <c r="S125"/>
      <c r="T125"/>
      <c r="U125"/>
      <c r="V125"/>
    </row>
    <row r="126" spans="1:22" s="1" customFormat="1" hidden="1" x14ac:dyDescent="0.2">
      <c r="J126" s="431">
        <f>J122-7824423</f>
        <v>2062049</v>
      </c>
      <c r="K126"/>
      <c r="L126"/>
      <c r="M126"/>
      <c r="N126"/>
      <c r="O126"/>
      <c r="P126"/>
      <c r="Q126"/>
      <c r="R126"/>
      <c r="S126"/>
      <c r="T126"/>
      <c r="U126"/>
      <c r="V126"/>
    </row>
    <row r="127" spans="1:22" s="1" customFormat="1" hidden="1" x14ac:dyDescent="0.2">
      <c r="J127" s="1" t="s">
        <v>378</v>
      </c>
      <c r="K127"/>
      <c r="L127"/>
      <c r="M127"/>
      <c r="N127"/>
      <c r="O127"/>
      <c r="P127"/>
      <c r="Q127"/>
      <c r="R127"/>
      <c r="S127"/>
      <c r="T127"/>
      <c r="U127"/>
      <c r="V127"/>
    </row>
    <row r="128" spans="1:22" s="1" customFormat="1" hidden="1" x14ac:dyDescent="0.2">
      <c r="K128"/>
      <c r="L128"/>
      <c r="M128"/>
      <c r="N128"/>
      <c r="O128"/>
      <c r="P128"/>
      <c r="Q128"/>
      <c r="R128"/>
      <c r="S128"/>
      <c r="T128"/>
      <c r="U128"/>
      <c r="V128"/>
    </row>
    <row r="129" spans="11:22" s="1" customFormat="1" x14ac:dyDescent="0.2">
      <c r="K129"/>
      <c r="L129"/>
      <c r="M129"/>
      <c r="N129"/>
      <c r="O129"/>
      <c r="P129"/>
      <c r="Q129"/>
      <c r="R129"/>
      <c r="S129"/>
      <c r="T129"/>
      <c r="U129"/>
      <c r="V129"/>
    </row>
  </sheetData>
  <mergeCells count="10">
    <mergeCell ref="A4:J4"/>
    <mergeCell ref="A7:A8"/>
    <mergeCell ref="B7:B8"/>
    <mergeCell ref="C7:C8"/>
    <mergeCell ref="D7:D8"/>
    <mergeCell ref="E7:E8"/>
    <mergeCell ref="F7:F8"/>
    <mergeCell ref="G7:G8"/>
    <mergeCell ref="H7:H8"/>
    <mergeCell ref="I7:J7"/>
  </mergeCells>
  <pageMargins left="1.1811023622047245" right="0.39370078740157483" top="0.78740157480314965" bottom="0.78740157480314965" header="0" footer="0"/>
  <pageSetup paperSize="9" scale="56" fitToHeight="11" orientation="portrait" horizontalDpi="360"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46"/>
  <sheetViews>
    <sheetView view="pageBreakPreview" topLeftCell="A205" zoomScale="75" zoomScaleNormal="100" zoomScaleSheetLayoutView="75" workbookViewId="0">
      <selection activeCell="E205" sqref="E205"/>
    </sheetView>
  </sheetViews>
  <sheetFormatPr defaultRowHeight="11.25" x14ac:dyDescent="0.2"/>
  <cols>
    <col min="1" max="1" width="16" style="377" customWidth="1"/>
    <col min="2" max="2" width="11" style="424" customWidth="1"/>
    <col min="3" max="3" width="15.7109375" style="425" customWidth="1"/>
    <col min="4" max="4" width="17.140625" style="421" customWidth="1"/>
    <col min="5" max="5" width="126.140625" style="377" customWidth="1"/>
    <col min="6" max="6" width="17.28515625" style="377" hidden="1" customWidth="1"/>
    <col min="7" max="256" width="9.140625" style="377"/>
    <col min="257" max="257" width="16" style="377" customWidth="1"/>
    <col min="258" max="258" width="11" style="377" customWidth="1"/>
    <col min="259" max="259" width="14.28515625" style="377" customWidth="1"/>
    <col min="260" max="260" width="17.140625" style="377" customWidth="1"/>
    <col min="261" max="261" width="126.140625" style="377" customWidth="1"/>
    <col min="262" max="262" width="9.140625" style="377" customWidth="1"/>
    <col min="263" max="512" width="9.140625" style="377"/>
    <col min="513" max="513" width="16" style="377" customWidth="1"/>
    <col min="514" max="514" width="11" style="377" customWidth="1"/>
    <col min="515" max="515" width="14.28515625" style="377" customWidth="1"/>
    <col min="516" max="516" width="17.140625" style="377" customWidth="1"/>
    <col min="517" max="517" width="126.140625" style="377" customWidth="1"/>
    <col min="518" max="518" width="9.140625" style="377" customWidth="1"/>
    <col min="519" max="768" width="9.140625" style="377"/>
    <col min="769" max="769" width="16" style="377" customWidth="1"/>
    <col min="770" max="770" width="11" style="377" customWidth="1"/>
    <col min="771" max="771" width="14.28515625" style="377" customWidth="1"/>
    <col min="772" max="772" width="17.140625" style="377" customWidth="1"/>
    <col min="773" max="773" width="126.140625" style="377" customWidth="1"/>
    <col min="774" max="774" width="9.140625" style="377" customWidth="1"/>
    <col min="775" max="1024" width="9.140625" style="377"/>
    <col min="1025" max="1025" width="16" style="377" customWidth="1"/>
    <col min="1026" max="1026" width="11" style="377" customWidth="1"/>
    <col min="1027" max="1027" width="14.28515625" style="377" customWidth="1"/>
    <col min="1028" max="1028" width="17.140625" style="377" customWidth="1"/>
    <col min="1029" max="1029" width="126.140625" style="377" customWidth="1"/>
    <col min="1030" max="1030" width="9.140625" style="377" customWidth="1"/>
    <col min="1031" max="1280" width="9.140625" style="377"/>
    <col min="1281" max="1281" width="16" style="377" customWidth="1"/>
    <col min="1282" max="1282" width="11" style="377" customWidth="1"/>
    <col min="1283" max="1283" width="14.28515625" style="377" customWidth="1"/>
    <col min="1284" max="1284" width="17.140625" style="377" customWidth="1"/>
    <col min="1285" max="1285" width="126.140625" style="377" customWidth="1"/>
    <col min="1286" max="1286" width="9.140625" style="377" customWidth="1"/>
    <col min="1287" max="1536" width="9.140625" style="377"/>
    <col min="1537" max="1537" width="16" style="377" customWidth="1"/>
    <col min="1538" max="1538" width="11" style="377" customWidth="1"/>
    <col min="1539" max="1539" width="14.28515625" style="377" customWidth="1"/>
    <col min="1540" max="1540" width="17.140625" style="377" customWidth="1"/>
    <col min="1541" max="1541" width="126.140625" style="377" customWidth="1"/>
    <col min="1542" max="1542" width="9.140625" style="377" customWidth="1"/>
    <col min="1543" max="1792" width="9.140625" style="377"/>
    <col min="1793" max="1793" width="16" style="377" customWidth="1"/>
    <col min="1794" max="1794" width="11" style="377" customWidth="1"/>
    <col min="1795" max="1795" width="14.28515625" style="377" customWidth="1"/>
    <col min="1796" max="1796" width="17.140625" style="377" customWidth="1"/>
    <col min="1797" max="1797" width="126.140625" style="377" customWidth="1"/>
    <col min="1798" max="1798" width="9.140625" style="377" customWidth="1"/>
    <col min="1799" max="2048" width="9.140625" style="377"/>
    <col min="2049" max="2049" width="16" style="377" customWidth="1"/>
    <col min="2050" max="2050" width="11" style="377" customWidth="1"/>
    <col min="2051" max="2051" width="14.28515625" style="377" customWidth="1"/>
    <col min="2052" max="2052" width="17.140625" style="377" customWidth="1"/>
    <col min="2053" max="2053" width="126.140625" style="377" customWidth="1"/>
    <col min="2054" max="2054" width="9.140625" style="377" customWidth="1"/>
    <col min="2055" max="2304" width="9.140625" style="377"/>
    <col min="2305" max="2305" width="16" style="377" customWidth="1"/>
    <col min="2306" max="2306" width="11" style="377" customWidth="1"/>
    <col min="2307" max="2307" width="14.28515625" style="377" customWidth="1"/>
    <col min="2308" max="2308" width="17.140625" style="377" customWidth="1"/>
    <col min="2309" max="2309" width="126.140625" style="377" customWidth="1"/>
    <col min="2310" max="2310" width="9.140625" style="377" customWidth="1"/>
    <col min="2311" max="2560" width="9.140625" style="377"/>
    <col min="2561" max="2561" width="16" style="377" customWidth="1"/>
    <col min="2562" max="2562" width="11" style="377" customWidth="1"/>
    <col min="2563" max="2563" width="14.28515625" style="377" customWidth="1"/>
    <col min="2564" max="2564" width="17.140625" style="377" customWidth="1"/>
    <col min="2565" max="2565" width="126.140625" style="377" customWidth="1"/>
    <col min="2566" max="2566" width="9.140625" style="377" customWidth="1"/>
    <col min="2567" max="2816" width="9.140625" style="377"/>
    <col min="2817" max="2817" width="16" style="377" customWidth="1"/>
    <col min="2818" max="2818" width="11" style="377" customWidth="1"/>
    <col min="2819" max="2819" width="14.28515625" style="377" customWidth="1"/>
    <col min="2820" max="2820" width="17.140625" style="377" customWidth="1"/>
    <col min="2821" max="2821" width="126.140625" style="377" customWidth="1"/>
    <col min="2822" max="2822" width="9.140625" style="377" customWidth="1"/>
    <col min="2823" max="3072" width="9.140625" style="377"/>
    <col min="3073" max="3073" width="16" style="377" customWidth="1"/>
    <col min="3074" max="3074" width="11" style="377" customWidth="1"/>
    <col min="3075" max="3075" width="14.28515625" style="377" customWidth="1"/>
    <col min="3076" max="3076" width="17.140625" style="377" customWidth="1"/>
    <col min="3077" max="3077" width="126.140625" style="377" customWidth="1"/>
    <col min="3078" max="3078" width="9.140625" style="377" customWidth="1"/>
    <col min="3079" max="3328" width="9.140625" style="377"/>
    <col min="3329" max="3329" width="16" style="377" customWidth="1"/>
    <col min="3330" max="3330" width="11" style="377" customWidth="1"/>
    <col min="3331" max="3331" width="14.28515625" style="377" customWidth="1"/>
    <col min="3332" max="3332" width="17.140625" style="377" customWidth="1"/>
    <col min="3333" max="3333" width="126.140625" style="377" customWidth="1"/>
    <col min="3334" max="3334" width="9.140625" style="377" customWidth="1"/>
    <col min="3335" max="3584" width="9.140625" style="377"/>
    <col min="3585" max="3585" width="16" style="377" customWidth="1"/>
    <col min="3586" max="3586" width="11" style="377" customWidth="1"/>
    <col min="3587" max="3587" width="14.28515625" style="377" customWidth="1"/>
    <col min="3588" max="3588" width="17.140625" style="377" customWidth="1"/>
    <col min="3589" max="3589" width="126.140625" style="377" customWidth="1"/>
    <col min="3590" max="3590" width="9.140625" style="377" customWidth="1"/>
    <col min="3591" max="3840" width="9.140625" style="377"/>
    <col min="3841" max="3841" width="16" style="377" customWidth="1"/>
    <col min="3842" max="3842" width="11" style="377" customWidth="1"/>
    <col min="3843" max="3843" width="14.28515625" style="377" customWidth="1"/>
    <col min="3844" max="3844" width="17.140625" style="377" customWidth="1"/>
    <col min="3845" max="3845" width="126.140625" style="377" customWidth="1"/>
    <col min="3846" max="3846" width="9.140625" style="377" customWidth="1"/>
    <col min="3847" max="4096" width="9.140625" style="377"/>
    <col min="4097" max="4097" width="16" style="377" customWidth="1"/>
    <col min="4098" max="4098" width="11" style="377" customWidth="1"/>
    <col min="4099" max="4099" width="14.28515625" style="377" customWidth="1"/>
    <col min="4100" max="4100" width="17.140625" style="377" customWidth="1"/>
    <col min="4101" max="4101" width="126.140625" style="377" customWidth="1"/>
    <col min="4102" max="4102" width="9.140625" style="377" customWidth="1"/>
    <col min="4103" max="4352" width="9.140625" style="377"/>
    <col min="4353" max="4353" width="16" style="377" customWidth="1"/>
    <col min="4354" max="4354" width="11" style="377" customWidth="1"/>
    <col min="4355" max="4355" width="14.28515625" style="377" customWidth="1"/>
    <col min="4356" max="4356" width="17.140625" style="377" customWidth="1"/>
    <col min="4357" max="4357" width="126.140625" style="377" customWidth="1"/>
    <col min="4358" max="4358" width="9.140625" style="377" customWidth="1"/>
    <col min="4359" max="4608" width="9.140625" style="377"/>
    <col min="4609" max="4609" width="16" style="377" customWidth="1"/>
    <col min="4610" max="4610" width="11" style="377" customWidth="1"/>
    <col min="4611" max="4611" width="14.28515625" style="377" customWidth="1"/>
    <col min="4612" max="4612" width="17.140625" style="377" customWidth="1"/>
    <col min="4613" max="4613" width="126.140625" style="377" customWidth="1"/>
    <col min="4614" max="4614" width="9.140625" style="377" customWidth="1"/>
    <col min="4615" max="4864" width="9.140625" style="377"/>
    <col min="4865" max="4865" width="16" style="377" customWidth="1"/>
    <col min="4866" max="4866" width="11" style="377" customWidth="1"/>
    <col min="4867" max="4867" width="14.28515625" style="377" customWidth="1"/>
    <col min="4868" max="4868" width="17.140625" style="377" customWidth="1"/>
    <col min="4869" max="4869" width="126.140625" style="377" customWidth="1"/>
    <col min="4870" max="4870" width="9.140625" style="377" customWidth="1"/>
    <col min="4871" max="5120" width="9.140625" style="377"/>
    <col min="5121" max="5121" width="16" style="377" customWidth="1"/>
    <col min="5122" max="5122" width="11" style="377" customWidth="1"/>
    <col min="5123" max="5123" width="14.28515625" style="377" customWidth="1"/>
    <col min="5124" max="5124" width="17.140625" style="377" customWidth="1"/>
    <col min="5125" max="5125" width="126.140625" style="377" customWidth="1"/>
    <col min="5126" max="5126" width="9.140625" style="377" customWidth="1"/>
    <col min="5127" max="5376" width="9.140625" style="377"/>
    <col min="5377" max="5377" width="16" style="377" customWidth="1"/>
    <col min="5378" max="5378" width="11" style="377" customWidth="1"/>
    <col min="5379" max="5379" width="14.28515625" style="377" customWidth="1"/>
    <col min="5380" max="5380" width="17.140625" style="377" customWidth="1"/>
    <col min="5381" max="5381" width="126.140625" style="377" customWidth="1"/>
    <col min="5382" max="5382" width="9.140625" style="377" customWidth="1"/>
    <col min="5383" max="5632" width="9.140625" style="377"/>
    <col min="5633" max="5633" width="16" style="377" customWidth="1"/>
    <col min="5634" max="5634" width="11" style="377" customWidth="1"/>
    <col min="5635" max="5635" width="14.28515625" style="377" customWidth="1"/>
    <col min="5636" max="5636" width="17.140625" style="377" customWidth="1"/>
    <col min="5637" max="5637" width="126.140625" style="377" customWidth="1"/>
    <col min="5638" max="5638" width="9.140625" style="377" customWidth="1"/>
    <col min="5639" max="5888" width="9.140625" style="377"/>
    <col min="5889" max="5889" width="16" style="377" customWidth="1"/>
    <col min="5890" max="5890" width="11" style="377" customWidth="1"/>
    <col min="5891" max="5891" width="14.28515625" style="377" customWidth="1"/>
    <col min="5892" max="5892" width="17.140625" style="377" customWidth="1"/>
    <col min="5893" max="5893" width="126.140625" style="377" customWidth="1"/>
    <col min="5894" max="5894" width="9.140625" style="377" customWidth="1"/>
    <col min="5895" max="6144" width="9.140625" style="377"/>
    <col min="6145" max="6145" width="16" style="377" customWidth="1"/>
    <col min="6146" max="6146" width="11" style="377" customWidth="1"/>
    <col min="6147" max="6147" width="14.28515625" style="377" customWidth="1"/>
    <col min="6148" max="6148" width="17.140625" style="377" customWidth="1"/>
    <col min="6149" max="6149" width="126.140625" style="377" customWidth="1"/>
    <col min="6150" max="6150" width="9.140625" style="377" customWidth="1"/>
    <col min="6151" max="6400" width="9.140625" style="377"/>
    <col min="6401" max="6401" width="16" style="377" customWidth="1"/>
    <col min="6402" max="6402" width="11" style="377" customWidth="1"/>
    <col min="6403" max="6403" width="14.28515625" style="377" customWidth="1"/>
    <col min="6404" max="6404" width="17.140625" style="377" customWidth="1"/>
    <col min="6405" max="6405" width="126.140625" style="377" customWidth="1"/>
    <col min="6406" max="6406" width="9.140625" style="377" customWidth="1"/>
    <col min="6407" max="6656" width="9.140625" style="377"/>
    <col min="6657" max="6657" width="16" style="377" customWidth="1"/>
    <col min="6658" max="6658" width="11" style="377" customWidth="1"/>
    <col min="6659" max="6659" width="14.28515625" style="377" customWidth="1"/>
    <col min="6660" max="6660" width="17.140625" style="377" customWidth="1"/>
    <col min="6661" max="6661" width="126.140625" style="377" customWidth="1"/>
    <col min="6662" max="6662" width="9.140625" style="377" customWidth="1"/>
    <col min="6663" max="6912" width="9.140625" style="377"/>
    <col min="6913" max="6913" width="16" style="377" customWidth="1"/>
    <col min="6914" max="6914" width="11" style="377" customWidth="1"/>
    <col min="6915" max="6915" width="14.28515625" style="377" customWidth="1"/>
    <col min="6916" max="6916" width="17.140625" style="377" customWidth="1"/>
    <col min="6917" max="6917" width="126.140625" style="377" customWidth="1"/>
    <col min="6918" max="6918" width="9.140625" style="377" customWidth="1"/>
    <col min="6919" max="7168" width="9.140625" style="377"/>
    <col min="7169" max="7169" width="16" style="377" customWidth="1"/>
    <col min="7170" max="7170" width="11" style="377" customWidth="1"/>
    <col min="7171" max="7171" width="14.28515625" style="377" customWidth="1"/>
    <col min="7172" max="7172" width="17.140625" style="377" customWidth="1"/>
    <col min="7173" max="7173" width="126.140625" style="377" customWidth="1"/>
    <col min="7174" max="7174" width="9.140625" style="377" customWidth="1"/>
    <col min="7175" max="7424" width="9.140625" style="377"/>
    <col min="7425" max="7425" width="16" style="377" customWidth="1"/>
    <col min="7426" max="7426" width="11" style="377" customWidth="1"/>
    <col min="7427" max="7427" width="14.28515625" style="377" customWidth="1"/>
    <col min="7428" max="7428" width="17.140625" style="377" customWidth="1"/>
    <col min="7429" max="7429" width="126.140625" style="377" customWidth="1"/>
    <col min="7430" max="7430" width="9.140625" style="377" customWidth="1"/>
    <col min="7431" max="7680" width="9.140625" style="377"/>
    <col min="7681" max="7681" width="16" style="377" customWidth="1"/>
    <col min="7682" max="7682" width="11" style="377" customWidth="1"/>
    <col min="7683" max="7683" width="14.28515625" style="377" customWidth="1"/>
    <col min="7684" max="7684" width="17.140625" style="377" customWidth="1"/>
    <col min="7685" max="7685" width="126.140625" style="377" customWidth="1"/>
    <col min="7686" max="7686" width="9.140625" style="377" customWidth="1"/>
    <col min="7687" max="7936" width="9.140625" style="377"/>
    <col min="7937" max="7937" width="16" style="377" customWidth="1"/>
    <col min="7938" max="7938" width="11" style="377" customWidth="1"/>
    <col min="7939" max="7939" width="14.28515625" style="377" customWidth="1"/>
    <col min="7940" max="7940" width="17.140625" style="377" customWidth="1"/>
    <col min="7941" max="7941" width="126.140625" style="377" customWidth="1"/>
    <col min="7942" max="7942" width="9.140625" style="377" customWidth="1"/>
    <col min="7943" max="8192" width="9.140625" style="377"/>
    <col min="8193" max="8193" width="16" style="377" customWidth="1"/>
    <col min="8194" max="8194" width="11" style="377" customWidth="1"/>
    <col min="8195" max="8195" width="14.28515625" style="377" customWidth="1"/>
    <col min="8196" max="8196" width="17.140625" style="377" customWidth="1"/>
    <col min="8197" max="8197" width="126.140625" style="377" customWidth="1"/>
    <col min="8198" max="8198" width="9.140625" style="377" customWidth="1"/>
    <col min="8199" max="8448" width="9.140625" style="377"/>
    <col min="8449" max="8449" width="16" style="377" customWidth="1"/>
    <col min="8450" max="8450" width="11" style="377" customWidth="1"/>
    <col min="8451" max="8451" width="14.28515625" style="377" customWidth="1"/>
    <col min="8452" max="8452" width="17.140625" style="377" customWidth="1"/>
    <col min="8453" max="8453" width="126.140625" style="377" customWidth="1"/>
    <col min="8454" max="8454" width="9.140625" style="377" customWidth="1"/>
    <col min="8455" max="8704" width="9.140625" style="377"/>
    <col min="8705" max="8705" width="16" style="377" customWidth="1"/>
    <col min="8706" max="8706" width="11" style="377" customWidth="1"/>
    <col min="8707" max="8707" width="14.28515625" style="377" customWidth="1"/>
    <col min="8708" max="8708" width="17.140625" style="377" customWidth="1"/>
    <col min="8709" max="8709" width="126.140625" style="377" customWidth="1"/>
    <col min="8710" max="8710" width="9.140625" style="377" customWidth="1"/>
    <col min="8711" max="8960" width="9.140625" style="377"/>
    <col min="8961" max="8961" width="16" style="377" customWidth="1"/>
    <col min="8962" max="8962" width="11" style="377" customWidth="1"/>
    <col min="8963" max="8963" width="14.28515625" style="377" customWidth="1"/>
    <col min="8964" max="8964" width="17.140625" style="377" customWidth="1"/>
    <col min="8965" max="8965" width="126.140625" style="377" customWidth="1"/>
    <col min="8966" max="8966" width="9.140625" style="377" customWidth="1"/>
    <col min="8967" max="9216" width="9.140625" style="377"/>
    <col min="9217" max="9217" width="16" style="377" customWidth="1"/>
    <col min="9218" max="9218" width="11" style="377" customWidth="1"/>
    <col min="9219" max="9219" width="14.28515625" style="377" customWidth="1"/>
    <col min="9220" max="9220" width="17.140625" style="377" customWidth="1"/>
    <col min="9221" max="9221" width="126.140625" style="377" customWidth="1"/>
    <col min="9222" max="9222" width="9.140625" style="377" customWidth="1"/>
    <col min="9223" max="9472" width="9.140625" style="377"/>
    <col min="9473" max="9473" width="16" style="377" customWidth="1"/>
    <col min="9474" max="9474" width="11" style="377" customWidth="1"/>
    <col min="9475" max="9475" width="14.28515625" style="377" customWidth="1"/>
    <col min="9476" max="9476" width="17.140625" style="377" customWidth="1"/>
    <col min="9477" max="9477" width="126.140625" style="377" customWidth="1"/>
    <col min="9478" max="9478" width="9.140625" style="377" customWidth="1"/>
    <col min="9479" max="9728" width="9.140625" style="377"/>
    <col min="9729" max="9729" width="16" style="377" customWidth="1"/>
    <col min="9730" max="9730" width="11" style="377" customWidth="1"/>
    <col min="9731" max="9731" width="14.28515625" style="377" customWidth="1"/>
    <col min="9732" max="9732" width="17.140625" style="377" customWidth="1"/>
    <col min="9733" max="9733" width="126.140625" style="377" customWidth="1"/>
    <col min="9734" max="9734" width="9.140625" style="377" customWidth="1"/>
    <col min="9735" max="9984" width="9.140625" style="377"/>
    <col min="9985" max="9985" width="16" style="377" customWidth="1"/>
    <col min="9986" max="9986" width="11" style="377" customWidth="1"/>
    <col min="9987" max="9987" width="14.28515625" style="377" customWidth="1"/>
    <col min="9988" max="9988" width="17.140625" style="377" customWidth="1"/>
    <col min="9989" max="9989" width="126.140625" style="377" customWidth="1"/>
    <col min="9990" max="9990" width="9.140625" style="377" customWidth="1"/>
    <col min="9991" max="10240" width="9.140625" style="377"/>
    <col min="10241" max="10241" width="16" style="377" customWidth="1"/>
    <col min="10242" max="10242" width="11" style="377" customWidth="1"/>
    <col min="10243" max="10243" width="14.28515625" style="377" customWidth="1"/>
    <col min="10244" max="10244" width="17.140625" style="377" customWidth="1"/>
    <col min="10245" max="10245" width="126.140625" style="377" customWidth="1"/>
    <col min="10246" max="10246" width="9.140625" style="377" customWidth="1"/>
    <col min="10247" max="10496" width="9.140625" style="377"/>
    <col min="10497" max="10497" width="16" style="377" customWidth="1"/>
    <col min="10498" max="10498" width="11" style="377" customWidth="1"/>
    <col min="10499" max="10499" width="14.28515625" style="377" customWidth="1"/>
    <col min="10500" max="10500" width="17.140625" style="377" customWidth="1"/>
    <col min="10501" max="10501" width="126.140625" style="377" customWidth="1"/>
    <col min="10502" max="10502" width="9.140625" style="377" customWidth="1"/>
    <col min="10503" max="10752" width="9.140625" style="377"/>
    <col min="10753" max="10753" width="16" style="377" customWidth="1"/>
    <col min="10754" max="10754" width="11" style="377" customWidth="1"/>
    <col min="10755" max="10755" width="14.28515625" style="377" customWidth="1"/>
    <col min="10756" max="10756" width="17.140625" style="377" customWidth="1"/>
    <col min="10757" max="10757" width="126.140625" style="377" customWidth="1"/>
    <col min="10758" max="10758" width="9.140625" style="377" customWidth="1"/>
    <col min="10759" max="11008" width="9.140625" style="377"/>
    <col min="11009" max="11009" width="16" style="377" customWidth="1"/>
    <col min="11010" max="11010" width="11" style="377" customWidth="1"/>
    <col min="11011" max="11011" width="14.28515625" style="377" customWidth="1"/>
    <col min="11012" max="11012" width="17.140625" style="377" customWidth="1"/>
    <col min="11013" max="11013" width="126.140625" style="377" customWidth="1"/>
    <col min="11014" max="11014" width="9.140625" style="377" customWidth="1"/>
    <col min="11015" max="11264" width="9.140625" style="377"/>
    <col min="11265" max="11265" width="16" style="377" customWidth="1"/>
    <col min="11266" max="11266" width="11" style="377" customWidth="1"/>
    <col min="11267" max="11267" width="14.28515625" style="377" customWidth="1"/>
    <col min="11268" max="11268" width="17.140625" style="377" customWidth="1"/>
    <col min="11269" max="11269" width="126.140625" style="377" customWidth="1"/>
    <col min="11270" max="11270" width="9.140625" style="377" customWidth="1"/>
    <col min="11271" max="11520" width="9.140625" style="377"/>
    <col min="11521" max="11521" width="16" style="377" customWidth="1"/>
    <col min="11522" max="11522" width="11" style="377" customWidth="1"/>
    <col min="11523" max="11523" width="14.28515625" style="377" customWidth="1"/>
    <col min="11524" max="11524" width="17.140625" style="377" customWidth="1"/>
    <col min="11525" max="11525" width="126.140625" style="377" customWidth="1"/>
    <col min="11526" max="11526" width="9.140625" style="377" customWidth="1"/>
    <col min="11527" max="11776" width="9.140625" style="377"/>
    <col min="11777" max="11777" width="16" style="377" customWidth="1"/>
    <col min="11778" max="11778" width="11" style="377" customWidth="1"/>
    <col min="11779" max="11779" width="14.28515625" style="377" customWidth="1"/>
    <col min="11780" max="11780" width="17.140625" style="377" customWidth="1"/>
    <col min="11781" max="11781" width="126.140625" style="377" customWidth="1"/>
    <col min="11782" max="11782" width="9.140625" style="377" customWidth="1"/>
    <col min="11783" max="12032" width="9.140625" style="377"/>
    <col min="12033" max="12033" width="16" style="377" customWidth="1"/>
    <col min="12034" max="12034" width="11" style="377" customWidth="1"/>
    <col min="12035" max="12035" width="14.28515625" style="377" customWidth="1"/>
    <col min="12036" max="12036" width="17.140625" style="377" customWidth="1"/>
    <col min="12037" max="12037" width="126.140625" style="377" customWidth="1"/>
    <col min="12038" max="12038" width="9.140625" style="377" customWidth="1"/>
    <col min="12039" max="12288" width="9.140625" style="377"/>
    <col min="12289" max="12289" width="16" style="377" customWidth="1"/>
    <col min="12290" max="12290" width="11" style="377" customWidth="1"/>
    <col min="12291" max="12291" width="14.28515625" style="377" customWidth="1"/>
    <col min="12292" max="12292" width="17.140625" style="377" customWidth="1"/>
    <col min="12293" max="12293" width="126.140625" style="377" customWidth="1"/>
    <col min="12294" max="12294" width="9.140625" style="377" customWidth="1"/>
    <col min="12295" max="12544" width="9.140625" style="377"/>
    <col min="12545" max="12545" width="16" style="377" customWidth="1"/>
    <col min="12546" max="12546" width="11" style="377" customWidth="1"/>
    <col min="12547" max="12547" width="14.28515625" style="377" customWidth="1"/>
    <col min="12548" max="12548" width="17.140625" style="377" customWidth="1"/>
    <col min="12549" max="12549" width="126.140625" style="377" customWidth="1"/>
    <col min="12550" max="12550" width="9.140625" style="377" customWidth="1"/>
    <col min="12551" max="12800" width="9.140625" style="377"/>
    <col min="12801" max="12801" width="16" style="377" customWidth="1"/>
    <col min="12802" max="12802" width="11" style="377" customWidth="1"/>
    <col min="12803" max="12803" width="14.28515625" style="377" customWidth="1"/>
    <col min="12804" max="12804" width="17.140625" style="377" customWidth="1"/>
    <col min="12805" max="12805" width="126.140625" style="377" customWidth="1"/>
    <col min="12806" max="12806" width="9.140625" style="377" customWidth="1"/>
    <col min="12807" max="13056" width="9.140625" style="377"/>
    <col min="13057" max="13057" width="16" style="377" customWidth="1"/>
    <col min="13058" max="13058" width="11" style="377" customWidth="1"/>
    <col min="13059" max="13059" width="14.28515625" style="377" customWidth="1"/>
    <col min="13060" max="13060" width="17.140625" style="377" customWidth="1"/>
    <col min="13061" max="13061" width="126.140625" style="377" customWidth="1"/>
    <col min="13062" max="13062" width="9.140625" style="377" customWidth="1"/>
    <col min="13063" max="13312" width="9.140625" style="377"/>
    <col min="13313" max="13313" width="16" style="377" customWidth="1"/>
    <col min="13314" max="13314" width="11" style="377" customWidth="1"/>
    <col min="13315" max="13315" width="14.28515625" style="377" customWidth="1"/>
    <col min="13316" max="13316" width="17.140625" style="377" customWidth="1"/>
    <col min="13317" max="13317" width="126.140625" style="377" customWidth="1"/>
    <col min="13318" max="13318" width="9.140625" style="377" customWidth="1"/>
    <col min="13319" max="13568" width="9.140625" style="377"/>
    <col min="13569" max="13569" width="16" style="377" customWidth="1"/>
    <col min="13570" max="13570" width="11" style="377" customWidth="1"/>
    <col min="13571" max="13571" width="14.28515625" style="377" customWidth="1"/>
    <col min="13572" max="13572" width="17.140625" style="377" customWidth="1"/>
    <col min="13573" max="13573" width="126.140625" style="377" customWidth="1"/>
    <col min="13574" max="13574" width="9.140625" style="377" customWidth="1"/>
    <col min="13575" max="13824" width="9.140625" style="377"/>
    <col min="13825" max="13825" width="16" style="377" customWidth="1"/>
    <col min="13826" max="13826" width="11" style="377" customWidth="1"/>
    <col min="13827" max="13827" width="14.28515625" style="377" customWidth="1"/>
    <col min="13828" max="13828" width="17.140625" style="377" customWidth="1"/>
    <col min="13829" max="13829" width="126.140625" style="377" customWidth="1"/>
    <col min="13830" max="13830" width="9.140625" style="377" customWidth="1"/>
    <col min="13831" max="14080" width="9.140625" style="377"/>
    <col min="14081" max="14081" width="16" style="377" customWidth="1"/>
    <col min="14082" max="14082" width="11" style="377" customWidth="1"/>
    <col min="14083" max="14083" width="14.28515625" style="377" customWidth="1"/>
    <col min="14084" max="14084" width="17.140625" style="377" customWidth="1"/>
    <col min="14085" max="14085" width="126.140625" style="377" customWidth="1"/>
    <col min="14086" max="14086" width="9.140625" style="377" customWidth="1"/>
    <col min="14087" max="14336" width="9.140625" style="377"/>
    <col min="14337" max="14337" width="16" style="377" customWidth="1"/>
    <col min="14338" max="14338" width="11" style="377" customWidth="1"/>
    <col min="14339" max="14339" width="14.28515625" style="377" customWidth="1"/>
    <col min="14340" max="14340" width="17.140625" style="377" customWidth="1"/>
    <col min="14341" max="14341" width="126.140625" style="377" customWidth="1"/>
    <col min="14342" max="14342" width="9.140625" style="377" customWidth="1"/>
    <col min="14343" max="14592" width="9.140625" style="377"/>
    <col min="14593" max="14593" width="16" style="377" customWidth="1"/>
    <col min="14594" max="14594" width="11" style="377" customWidth="1"/>
    <col min="14595" max="14595" width="14.28515625" style="377" customWidth="1"/>
    <col min="14596" max="14596" width="17.140625" style="377" customWidth="1"/>
    <col min="14597" max="14597" width="126.140625" style="377" customWidth="1"/>
    <col min="14598" max="14598" width="9.140625" style="377" customWidth="1"/>
    <col min="14599" max="14848" width="9.140625" style="377"/>
    <col min="14849" max="14849" width="16" style="377" customWidth="1"/>
    <col min="14850" max="14850" width="11" style="377" customWidth="1"/>
    <col min="14851" max="14851" width="14.28515625" style="377" customWidth="1"/>
    <col min="14852" max="14852" width="17.140625" style="377" customWidth="1"/>
    <col min="14853" max="14853" width="126.140625" style="377" customWidth="1"/>
    <col min="14854" max="14854" width="9.140625" style="377" customWidth="1"/>
    <col min="14855" max="15104" width="9.140625" style="377"/>
    <col min="15105" max="15105" width="16" style="377" customWidth="1"/>
    <col min="15106" max="15106" width="11" style="377" customWidth="1"/>
    <col min="15107" max="15107" width="14.28515625" style="377" customWidth="1"/>
    <col min="15108" max="15108" width="17.140625" style="377" customWidth="1"/>
    <col min="15109" max="15109" width="126.140625" style="377" customWidth="1"/>
    <col min="15110" max="15110" width="9.140625" style="377" customWidth="1"/>
    <col min="15111" max="15360" width="9.140625" style="377"/>
    <col min="15361" max="15361" width="16" style="377" customWidth="1"/>
    <col min="15362" max="15362" width="11" style="377" customWidth="1"/>
    <col min="15363" max="15363" width="14.28515625" style="377" customWidth="1"/>
    <col min="15364" max="15364" width="17.140625" style="377" customWidth="1"/>
    <col min="15365" max="15365" width="126.140625" style="377" customWidth="1"/>
    <col min="15366" max="15366" width="9.140625" style="377" customWidth="1"/>
    <col min="15367" max="15616" width="9.140625" style="377"/>
    <col min="15617" max="15617" width="16" style="377" customWidth="1"/>
    <col min="15618" max="15618" width="11" style="377" customWidth="1"/>
    <col min="15619" max="15619" width="14.28515625" style="377" customWidth="1"/>
    <col min="15620" max="15620" width="17.140625" style="377" customWidth="1"/>
    <col min="15621" max="15621" width="126.140625" style="377" customWidth="1"/>
    <col min="15622" max="15622" width="9.140625" style="377" customWidth="1"/>
    <col min="15623" max="15872" width="9.140625" style="377"/>
    <col min="15873" max="15873" width="16" style="377" customWidth="1"/>
    <col min="15874" max="15874" width="11" style="377" customWidth="1"/>
    <col min="15875" max="15875" width="14.28515625" style="377" customWidth="1"/>
    <col min="15876" max="15876" width="17.140625" style="377" customWidth="1"/>
    <col min="15877" max="15877" width="126.140625" style="377" customWidth="1"/>
    <col min="15878" max="15878" width="9.140625" style="377" customWidth="1"/>
    <col min="15879" max="16128" width="9.140625" style="377"/>
    <col min="16129" max="16129" width="16" style="377" customWidth="1"/>
    <col min="16130" max="16130" width="11" style="377" customWidth="1"/>
    <col min="16131" max="16131" width="14.28515625" style="377" customWidth="1"/>
    <col min="16132" max="16132" width="17.140625" style="377" customWidth="1"/>
    <col min="16133" max="16133" width="126.140625" style="377" customWidth="1"/>
    <col min="16134" max="16134" width="9.140625" style="377" customWidth="1"/>
    <col min="16135" max="16384" width="9.140625" style="377"/>
  </cols>
  <sheetData>
    <row r="1" spans="1:5" ht="33.75" customHeight="1" x14ac:dyDescent="0.2">
      <c r="A1" s="372"/>
      <c r="B1" s="373"/>
      <c r="C1" s="374"/>
      <c r="D1" s="375"/>
      <c r="E1" s="376" t="s">
        <v>1106</v>
      </c>
    </row>
    <row r="2" spans="1:5" ht="37.5" customHeight="1" x14ac:dyDescent="0.2">
      <c r="A2" s="897" t="s">
        <v>772</v>
      </c>
      <c r="B2" s="897"/>
      <c r="C2" s="897"/>
      <c r="D2" s="897"/>
      <c r="E2" s="897"/>
    </row>
    <row r="3" spans="1:5" ht="15" customHeight="1" x14ac:dyDescent="0.2">
      <c r="A3" s="898" t="s">
        <v>637</v>
      </c>
      <c r="B3" s="899"/>
      <c r="C3" s="899"/>
      <c r="D3" s="899"/>
      <c r="E3" s="899"/>
    </row>
    <row r="4" spans="1:5" ht="16.5" customHeight="1" thickBot="1" x14ac:dyDescent="0.25">
      <c r="A4" s="900" t="s">
        <v>566</v>
      </c>
      <c r="B4" s="900"/>
      <c r="C4" s="900"/>
      <c r="D4" s="378"/>
      <c r="E4" s="378"/>
    </row>
    <row r="5" spans="1:5" ht="16.5" hidden="1" customHeight="1" thickBot="1" x14ac:dyDescent="0.25">
      <c r="A5" s="901" t="s">
        <v>567</v>
      </c>
      <c r="B5" s="902"/>
      <c r="C5" s="902"/>
      <c r="D5" s="378"/>
      <c r="E5" s="378"/>
    </row>
    <row r="6" spans="1:5" s="384" customFormat="1" ht="63.75" customHeight="1" thickBot="1" x14ac:dyDescent="0.25">
      <c r="A6" s="379" t="s">
        <v>568</v>
      </c>
      <c r="B6" s="380" t="s">
        <v>569</v>
      </c>
      <c r="C6" s="381" t="s">
        <v>570</v>
      </c>
      <c r="D6" s="382" t="s">
        <v>571</v>
      </c>
      <c r="E6" s="383" t="s">
        <v>572</v>
      </c>
    </row>
    <row r="7" spans="1:5" s="384" customFormat="1" ht="78.599999999999994" hidden="1" customHeight="1" thickBot="1" x14ac:dyDescent="0.25">
      <c r="A7" s="660" t="s">
        <v>573</v>
      </c>
      <c r="B7" s="661" t="s">
        <v>17</v>
      </c>
      <c r="C7" s="662"/>
      <c r="D7" s="663" t="s">
        <v>773</v>
      </c>
      <c r="E7" s="413" t="s">
        <v>782</v>
      </c>
    </row>
    <row r="8" spans="1:5" s="384" customFormat="1" ht="47.25" hidden="1" x14ac:dyDescent="0.2">
      <c r="A8" s="666" t="s">
        <v>573</v>
      </c>
      <c r="B8" s="667" t="s">
        <v>17</v>
      </c>
      <c r="C8" s="668"/>
      <c r="D8" s="426" t="s">
        <v>804</v>
      </c>
      <c r="E8" s="669" t="s">
        <v>946</v>
      </c>
    </row>
    <row r="9" spans="1:5" s="388" customFormat="1" ht="94.5" hidden="1" customHeight="1" x14ac:dyDescent="0.2">
      <c r="A9" s="591" t="s">
        <v>573</v>
      </c>
      <c r="B9" s="649" t="s">
        <v>17</v>
      </c>
      <c r="C9" s="426"/>
      <c r="D9" s="426" t="s">
        <v>687</v>
      </c>
      <c r="E9" s="427" t="s">
        <v>720</v>
      </c>
    </row>
    <row r="10" spans="1:5" s="388" customFormat="1" ht="81.599999999999994" hidden="1" customHeight="1" x14ac:dyDescent="0.2">
      <c r="A10" s="591" t="s">
        <v>573</v>
      </c>
      <c r="B10" s="649" t="s">
        <v>17</v>
      </c>
      <c r="C10" s="426"/>
      <c r="D10" s="426" t="s">
        <v>761</v>
      </c>
      <c r="E10" s="427" t="s">
        <v>760</v>
      </c>
    </row>
    <row r="11" spans="1:5" s="388" customFormat="1" ht="47.25" hidden="1" x14ac:dyDescent="0.2">
      <c r="A11" s="591" t="s">
        <v>573</v>
      </c>
      <c r="B11" s="649" t="s">
        <v>23</v>
      </c>
      <c r="C11" s="426"/>
      <c r="D11" s="426" t="s">
        <v>941</v>
      </c>
      <c r="E11" s="427" t="s">
        <v>1031</v>
      </c>
    </row>
    <row r="12" spans="1:5" s="388" customFormat="1" ht="47.25" hidden="1" x14ac:dyDescent="0.2">
      <c r="A12" s="599" t="s">
        <v>573</v>
      </c>
      <c r="B12" s="655" t="s">
        <v>23</v>
      </c>
      <c r="C12" s="657"/>
      <c r="D12" s="657" t="s">
        <v>941</v>
      </c>
      <c r="E12" s="451" t="s">
        <v>947</v>
      </c>
    </row>
    <row r="13" spans="1:5" s="388" customFormat="1" ht="47.25" hidden="1" x14ac:dyDescent="0.2">
      <c r="A13" s="599" t="s">
        <v>573</v>
      </c>
      <c r="B13" s="655" t="s">
        <v>23</v>
      </c>
      <c r="C13" s="657"/>
      <c r="D13" s="657" t="s">
        <v>941</v>
      </c>
      <c r="E13" s="451" t="s">
        <v>979</v>
      </c>
    </row>
    <row r="14" spans="1:5" s="388" customFormat="1" ht="87.75" hidden="1" customHeight="1" x14ac:dyDescent="0.2">
      <c r="A14" s="591" t="s">
        <v>573</v>
      </c>
      <c r="B14" s="649" t="s">
        <v>23</v>
      </c>
      <c r="C14" s="426"/>
      <c r="D14" s="426" t="s">
        <v>751</v>
      </c>
      <c r="E14" s="451" t="s">
        <v>744</v>
      </c>
    </row>
    <row r="15" spans="1:5" s="388" customFormat="1" ht="64.900000000000006" customHeight="1" x14ac:dyDescent="0.2">
      <c r="A15" s="591" t="s">
        <v>573</v>
      </c>
      <c r="B15" s="649" t="s">
        <v>23</v>
      </c>
      <c r="C15" s="657">
        <v>5000</v>
      </c>
      <c r="D15" s="426" t="s">
        <v>1014</v>
      </c>
      <c r="E15" s="427" t="s">
        <v>1032</v>
      </c>
    </row>
    <row r="16" spans="1:5" s="388" customFormat="1" ht="110.25" hidden="1" customHeight="1" x14ac:dyDescent="0.2">
      <c r="A16" s="591" t="s">
        <v>573</v>
      </c>
      <c r="B16" s="649" t="s">
        <v>399</v>
      </c>
      <c r="C16" s="426"/>
      <c r="D16" s="426" t="s">
        <v>687</v>
      </c>
      <c r="E16" s="427" t="s">
        <v>708</v>
      </c>
    </row>
    <row r="17" spans="1:5" s="388" customFormat="1" ht="110.25" hidden="1" customHeight="1" x14ac:dyDescent="0.2">
      <c r="A17" s="591" t="s">
        <v>612</v>
      </c>
      <c r="B17" s="649" t="s">
        <v>686</v>
      </c>
      <c r="C17" s="426"/>
      <c r="D17" s="426" t="s">
        <v>687</v>
      </c>
      <c r="E17" s="427" t="s">
        <v>709</v>
      </c>
    </row>
    <row r="18" spans="1:5" s="388" customFormat="1" ht="94.5" hidden="1" customHeight="1" x14ac:dyDescent="0.2">
      <c r="A18" s="591" t="s">
        <v>573</v>
      </c>
      <c r="B18" s="649" t="s">
        <v>27</v>
      </c>
      <c r="C18" s="426"/>
      <c r="D18" s="426" t="s">
        <v>687</v>
      </c>
      <c r="E18" s="427" t="s">
        <v>710</v>
      </c>
    </row>
    <row r="19" spans="1:5" s="388" customFormat="1" ht="94.5" hidden="1" customHeight="1" x14ac:dyDescent="0.2">
      <c r="A19" s="591" t="s">
        <v>612</v>
      </c>
      <c r="B19" s="649" t="s">
        <v>691</v>
      </c>
      <c r="C19" s="426"/>
      <c r="D19" s="426" t="s">
        <v>687</v>
      </c>
      <c r="E19" s="427" t="s">
        <v>711</v>
      </c>
    </row>
    <row r="20" spans="1:5" s="388" customFormat="1" ht="173.25" hidden="1" customHeight="1" x14ac:dyDescent="0.2">
      <c r="A20" s="591" t="s">
        <v>573</v>
      </c>
      <c r="B20" s="649" t="s">
        <v>33</v>
      </c>
      <c r="C20" s="642"/>
      <c r="D20" s="426" t="s">
        <v>754</v>
      </c>
      <c r="E20" s="451" t="s">
        <v>753</v>
      </c>
    </row>
    <row r="21" spans="1:5" s="388" customFormat="1" ht="173.25" hidden="1" x14ac:dyDescent="0.2">
      <c r="A21" s="591" t="s">
        <v>612</v>
      </c>
      <c r="B21" s="649" t="s">
        <v>689</v>
      </c>
      <c r="C21" s="642"/>
      <c r="D21" s="426" t="s">
        <v>754</v>
      </c>
      <c r="E21" s="451" t="s">
        <v>753</v>
      </c>
    </row>
    <row r="22" spans="1:5" s="388" customFormat="1" ht="63" hidden="1" x14ac:dyDescent="0.2">
      <c r="A22" s="591" t="s">
        <v>573</v>
      </c>
      <c r="B22" s="651" t="s">
        <v>59</v>
      </c>
      <c r="C22" s="426"/>
      <c r="D22" s="657" t="s">
        <v>941</v>
      </c>
      <c r="E22" s="451" t="s">
        <v>980</v>
      </c>
    </row>
    <row r="23" spans="1:5" s="388" customFormat="1" ht="15.75" hidden="1" x14ac:dyDescent="0.2">
      <c r="A23" s="591"/>
      <c r="B23" s="651"/>
      <c r="C23" s="426"/>
      <c r="D23" s="426"/>
      <c r="E23" s="451"/>
    </row>
    <row r="24" spans="1:5" s="388" customFormat="1" ht="94.5" hidden="1" customHeight="1" x14ac:dyDescent="0.2">
      <c r="A24" s="591" t="s">
        <v>573</v>
      </c>
      <c r="B24" s="651" t="s">
        <v>46</v>
      </c>
      <c r="C24" s="426"/>
      <c r="D24" s="426" t="s">
        <v>687</v>
      </c>
      <c r="E24" s="427" t="s">
        <v>712</v>
      </c>
    </row>
    <row r="25" spans="1:5" s="388" customFormat="1" ht="15.75" hidden="1" x14ac:dyDescent="0.2">
      <c r="A25" s="591"/>
      <c r="B25" s="651"/>
      <c r="C25" s="426"/>
      <c r="D25" s="426"/>
      <c r="E25" s="427"/>
    </row>
    <row r="26" spans="1:5" s="388" customFormat="1" ht="121.5" hidden="1" customHeight="1" x14ac:dyDescent="0.2">
      <c r="A26" s="591" t="s">
        <v>573</v>
      </c>
      <c r="B26" s="651" t="s">
        <v>51</v>
      </c>
      <c r="C26" s="657"/>
      <c r="D26" s="426" t="s">
        <v>756</v>
      </c>
      <c r="E26" s="451" t="s">
        <v>755</v>
      </c>
    </row>
    <row r="27" spans="1:5" s="388" customFormat="1" ht="15.75" hidden="1" x14ac:dyDescent="0.2">
      <c r="A27" s="591"/>
      <c r="B27" s="651"/>
      <c r="C27" s="657"/>
      <c r="D27" s="426"/>
      <c r="E27" s="451"/>
    </row>
    <row r="28" spans="1:5" s="388" customFormat="1" ht="15.75" hidden="1" x14ac:dyDescent="0.2">
      <c r="A28" s="591"/>
      <c r="B28" s="651"/>
      <c r="C28" s="657"/>
      <c r="D28" s="426"/>
      <c r="E28" s="451"/>
    </row>
    <row r="29" spans="1:5" s="388" customFormat="1" ht="15.75" hidden="1" x14ac:dyDescent="0.2">
      <c r="A29" s="591"/>
      <c r="B29" s="651"/>
      <c r="C29" s="657"/>
      <c r="D29" s="426"/>
      <c r="E29" s="451"/>
    </row>
    <row r="30" spans="1:5" s="388" customFormat="1" ht="15.75" hidden="1" x14ac:dyDescent="0.2">
      <c r="A30" s="591"/>
      <c r="B30" s="651"/>
      <c r="C30" s="426"/>
      <c r="D30" s="426"/>
      <c r="E30" s="451"/>
    </row>
    <row r="31" spans="1:5" s="388" customFormat="1" ht="15.75" hidden="1" x14ac:dyDescent="0.2">
      <c r="A31" s="670"/>
      <c r="B31" s="651"/>
      <c r="C31" s="426"/>
      <c r="D31" s="426"/>
      <c r="E31" s="451"/>
    </row>
    <row r="32" spans="1:5" s="388" customFormat="1" ht="15.75" hidden="1" x14ac:dyDescent="0.2">
      <c r="A32" s="591"/>
      <c r="B32" s="649"/>
      <c r="C32" s="426"/>
      <c r="D32" s="426"/>
      <c r="E32" s="451"/>
    </row>
    <row r="33" spans="1:5" s="388" customFormat="1" ht="15.75" hidden="1" x14ac:dyDescent="0.2">
      <c r="A33" s="591"/>
      <c r="B33" s="649"/>
      <c r="C33" s="426"/>
      <c r="D33" s="426"/>
      <c r="E33" s="451"/>
    </row>
    <row r="34" spans="1:5" s="388" customFormat="1" ht="47.25" hidden="1" customHeight="1" x14ac:dyDescent="0.2">
      <c r="A34" s="591" t="s">
        <v>573</v>
      </c>
      <c r="B34" s="649" t="s">
        <v>63</v>
      </c>
      <c r="C34" s="426"/>
      <c r="D34" s="426" t="s">
        <v>575</v>
      </c>
      <c r="E34" s="652" t="s">
        <v>576</v>
      </c>
    </row>
    <row r="35" spans="1:5" s="388" customFormat="1" ht="78.75" hidden="1" customHeight="1" x14ac:dyDescent="0.2">
      <c r="A35" s="591" t="s">
        <v>573</v>
      </c>
      <c r="B35" s="649" t="s">
        <v>63</v>
      </c>
      <c r="C35" s="426"/>
      <c r="D35" s="650" t="s">
        <v>574</v>
      </c>
      <c r="E35" s="653" t="s">
        <v>577</v>
      </c>
    </row>
    <row r="36" spans="1:5" s="388" customFormat="1" ht="31.5" hidden="1" customHeight="1" x14ac:dyDescent="0.2">
      <c r="A36" s="591" t="s">
        <v>573</v>
      </c>
      <c r="B36" s="649" t="s">
        <v>75</v>
      </c>
      <c r="C36" s="426"/>
      <c r="D36" s="426" t="s">
        <v>578</v>
      </c>
      <c r="E36" s="653" t="s">
        <v>579</v>
      </c>
    </row>
    <row r="37" spans="1:5" s="388" customFormat="1" ht="63" hidden="1" customHeight="1" x14ac:dyDescent="0.2">
      <c r="A37" s="591" t="s">
        <v>573</v>
      </c>
      <c r="B37" s="649" t="s">
        <v>75</v>
      </c>
      <c r="C37" s="426"/>
      <c r="D37" s="426" t="s">
        <v>842</v>
      </c>
      <c r="E37" s="427" t="s">
        <v>865</v>
      </c>
    </row>
    <row r="38" spans="1:5" s="388" customFormat="1" ht="47.25" hidden="1" customHeight="1" x14ac:dyDescent="0.2">
      <c r="A38" s="591" t="s">
        <v>573</v>
      </c>
      <c r="B38" s="649" t="s">
        <v>75</v>
      </c>
      <c r="C38" s="426"/>
      <c r="D38" s="426" t="s">
        <v>842</v>
      </c>
      <c r="E38" s="427" t="s">
        <v>866</v>
      </c>
    </row>
    <row r="39" spans="1:5" s="388" customFormat="1" ht="76.900000000000006" customHeight="1" x14ac:dyDescent="0.2">
      <c r="A39" s="591" t="s">
        <v>573</v>
      </c>
      <c r="B39" s="649" t="s">
        <v>78</v>
      </c>
      <c r="C39" s="643">
        <v>27750</v>
      </c>
      <c r="D39" s="650" t="s">
        <v>1012</v>
      </c>
      <c r="E39" s="427" t="s">
        <v>1011</v>
      </c>
    </row>
    <row r="40" spans="1:5" s="388" customFormat="1" ht="84" hidden="1" customHeight="1" x14ac:dyDescent="0.2">
      <c r="A40" s="591" t="s">
        <v>573</v>
      </c>
      <c r="B40" s="649" t="s">
        <v>78</v>
      </c>
      <c r="C40" s="643"/>
      <c r="D40" s="650" t="s">
        <v>798</v>
      </c>
      <c r="E40" s="427" t="s">
        <v>824</v>
      </c>
    </row>
    <row r="41" spans="1:5" s="388" customFormat="1" ht="61.9" hidden="1" customHeight="1" x14ac:dyDescent="0.2">
      <c r="A41" s="591" t="s">
        <v>573</v>
      </c>
      <c r="B41" s="649" t="s">
        <v>78</v>
      </c>
      <c r="C41" s="643"/>
      <c r="D41" s="705" t="s">
        <v>843</v>
      </c>
      <c r="E41" s="427" t="s">
        <v>870</v>
      </c>
    </row>
    <row r="42" spans="1:5" s="388" customFormat="1" ht="61.9" customHeight="1" x14ac:dyDescent="0.2">
      <c r="A42" s="591" t="s">
        <v>573</v>
      </c>
      <c r="B42" s="649" t="s">
        <v>78</v>
      </c>
      <c r="C42" s="643">
        <v>60000</v>
      </c>
      <c r="D42" s="650" t="s">
        <v>1013</v>
      </c>
      <c r="E42" s="427" t="s">
        <v>1010</v>
      </c>
    </row>
    <row r="43" spans="1:5" s="388" customFormat="1" ht="45" hidden="1" customHeight="1" x14ac:dyDescent="0.2">
      <c r="A43" s="591" t="s">
        <v>573</v>
      </c>
      <c r="B43" s="649" t="s">
        <v>84</v>
      </c>
      <c r="C43" s="643"/>
      <c r="D43" s="539" t="s">
        <v>943</v>
      </c>
      <c r="E43" s="427" t="s">
        <v>981</v>
      </c>
    </row>
    <row r="44" spans="1:5" s="388" customFormat="1" ht="100.15" customHeight="1" x14ac:dyDescent="0.2">
      <c r="A44" s="591" t="s">
        <v>573</v>
      </c>
      <c r="B44" s="649" t="s">
        <v>580</v>
      </c>
      <c r="C44" s="643">
        <v>65000</v>
      </c>
      <c r="D44" s="426" t="s">
        <v>1014</v>
      </c>
      <c r="E44" s="427" t="s">
        <v>1099</v>
      </c>
    </row>
    <row r="45" spans="1:5" s="388" customFormat="1" ht="64.150000000000006" customHeight="1" x14ac:dyDescent="0.2">
      <c r="A45" s="591" t="s">
        <v>573</v>
      </c>
      <c r="B45" s="649" t="s">
        <v>580</v>
      </c>
      <c r="C45" s="426">
        <v>20959</v>
      </c>
      <c r="D45" s="705" t="s">
        <v>1060</v>
      </c>
      <c r="E45" s="427" t="s">
        <v>1054</v>
      </c>
    </row>
    <row r="46" spans="1:5" s="388" customFormat="1" ht="79.900000000000006" customHeight="1" x14ac:dyDescent="0.2">
      <c r="A46" s="591" t="s">
        <v>573</v>
      </c>
      <c r="B46" s="649" t="s">
        <v>580</v>
      </c>
      <c r="C46" s="426">
        <v>169000</v>
      </c>
      <c r="D46" s="650" t="s">
        <v>1018</v>
      </c>
      <c r="E46" s="427" t="s">
        <v>1019</v>
      </c>
    </row>
    <row r="47" spans="1:5" s="388" customFormat="1" ht="68.45" customHeight="1" x14ac:dyDescent="0.2">
      <c r="A47" s="591" t="s">
        <v>573</v>
      </c>
      <c r="B47" s="649" t="s">
        <v>87</v>
      </c>
      <c r="C47" s="426">
        <v>48975</v>
      </c>
      <c r="D47" s="426" t="s">
        <v>1014</v>
      </c>
      <c r="E47" s="427" t="s">
        <v>1030</v>
      </c>
    </row>
    <row r="48" spans="1:5" s="388" customFormat="1" ht="52.15" customHeight="1" x14ac:dyDescent="0.2">
      <c r="A48" s="591" t="s">
        <v>573</v>
      </c>
      <c r="B48" s="649" t="s">
        <v>87</v>
      </c>
      <c r="C48" s="426">
        <v>40000</v>
      </c>
      <c r="D48" s="426" t="s">
        <v>1014</v>
      </c>
      <c r="E48" s="427" t="s">
        <v>1023</v>
      </c>
    </row>
    <row r="49" spans="1:6" s="388" customFormat="1" ht="46.15" customHeight="1" x14ac:dyDescent="0.2">
      <c r="A49" s="599" t="s">
        <v>573</v>
      </c>
      <c r="B49" s="655" t="s">
        <v>87</v>
      </c>
      <c r="C49" s="426">
        <v>49000</v>
      </c>
      <c r="D49" s="426" t="s">
        <v>1014</v>
      </c>
      <c r="E49" s="427" t="s">
        <v>1024</v>
      </c>
    </row>
    <row r="50" spans="1:6" s="388" customFormat="1" ht="59.45" customHeight="1" x14ac:dyDescent="0.2">
      <c r="A50" s="591" t="s">
        <v>573</v>
      </c>
      <c r="B50" s="649" t="s">
        <v>87</v>
      </c>
      <c r="C50" s="426">
        <v>40000</v>
      </c>
      <c r="D50" s="426" t="s">
        <v>1014</v>
      </c>
      <c r="E50" s="427" t="s">
        <v>1025</v>
      </c>
    </row>
    <row r="51" spans="1:6" s="388" customFormat="1" ht="76.900000000000006" hidden="1" customHeight="1" x14ac:dyDescent="0.2">
      <c r="A51" s="591" t="s">
        <v>573</v>
      </c>
      <c r="B51" s="655" t="s">
        <v>87</v>
      </c>
      <c r="C51" s="426"/>
      <c r="D51" s="426" t="s">
        <v>936</v>
      </c>
      <c r="E51" s="604" t="s">
        <v>959</v>
      </c>
    </row>
    <row r="52" spans="1:6" s="388" customFormat="1" ht="63" hidden="1" customHeight="1" x14ac:dyDescent="0.2">
      <c r="A52" s="591" t="s">
        <v>573</v>
      </c>
      <c r="B52" s="649" t="s">
        <v>87</v>
      </c>
      <c r="C52" s="426"/>
      <c r="D52" s="426" t="s">
        <v>943</v>
      </c>
      <c r="E52" s="427" t="s">
        <v>982</v>
      </c>
    </row>
    <row r="53" spans="1:6" s="388" customFormat="1" ht="60" hidden="1" customHeight="1" x14ac:dyDescent="0.2">
      <c r="A53" s="591" t="s">
        <v>573</v>
      </c>
      <c r="B53" s="649" t="s">
        <v>87</v>
      </c>
      <c r="C53" s="426"/>
      <c r="D53" s="426" t="s">
        <v>943</v>
      </c>
      <c r="E53" s="427" t="s">
        <v>983</v>
      </c>
    </row>
    <row r="54" spans="1:6" s="388" customFormat="1" ht="42" hidden="1" customHeight="1" x14ac:dyDescent="0.2">
      <c r="A54" s="591" t="s">
        <v>573</v>
      </c>
      <c r="B54" s="649" t="s">
        <v>87</v>
      </c>
      <c r="C54" s="426"/>
      <c r="D54" s="688" t="s">
        <v>773</v>
      </c>
      <c r="E54" s="601" t="s">
        <v>776</v>
      </c>
    </row>
    <row r="55" spans="1:6" s="388" customFormat="1" ht="45" hidden="1" customHeight="1" x14ac:dyDescent="0.2">
      <c r="A55" s="591" t="s">
        <v>573</v>
      </c>
      <c r="B55" s="655" t="s">
        <v>87</v>
      </c>
      <c r="C55" s="657"/>
      <c r="D55" s="688" t="s">
        <v>773</v>
      </c>
      <c r="E55" s="427" t="s">
        <v>777</v>
      </c>
      <c r="F55" s="388">
        <v>49601</v>
      </c>
    </row>
    <row r="56" spans="1:6" s="388" customFormat="1" ht="62.45" hidden="1" customHeight="1" x14ac:dyDescent="0.2">
      <c r="A56" s="591" t="s">
        <v>573</v>
      </c>
      <c r="B56" s="649" t="s">
        <v>775</v>
      </c>
      <c r="C56" s="658"/>
      <c r="D56" s="688" t="s">
        <v>773</v>
      </c>
      <c r="E56" s="427" t="s">
        <v>783</v>
      </c>
    </row>
    <row r="57" spans="1:6" s="388" customFormat="1" ht="31.5" hidden="1" customHeight="1" x14ac:dyDescent="0.2">
      <c r="A57" s="591" t="s">
        <v>573</v>
      </c>
      <c r="B57" s="649" t="s">
        <v>87</v>
      </c>
      <c r="C57" s="426"/>
      <c r="D57" s="688" t="s">
        <v>773</v>
      </c>
      <c r="E57" s="427" t="s">
        <v>652</v>
      </c>
    </row>
    <row r="58" spans="1:6" s="388" customFormat="1" ht="31.5" hidden="1" customHeight="1" x14ac:dyDescent="0.2">
      <c r="A58" s="591" t="s">
        <v>573</v>
      </c>
      <c r="B58" s="649" t="s">
        <v>87</v>
      </c>
      <c r="C58" s="426"/>
      <c r="D58" s="688" t="s">
        <v>636</v>
      </c>
      <c r="E58" s="427" t="s">
        <v>653</v>
      </c>
    </row>
    <row r="59" spans="1:6" s="388" customFormat="1" ht="67.150000000000006" hidden="1" customHeight="1" x14ac:dyDescent="0.2">
      <c r="A59" s="591" t="s">
        <v>573</v>
      </c>
      <c r="B59" s="649" t="s">
        <v>87</v>
      </c>
      <c r="C59" s="426"/>
      <c r="D59" s="688" t="s">
        <v>636</v>
      </c>
      <c r="E59" s="427" t="s">
        <v>861</v>
      </c>
    </row>
    <row r="60" spans="1:6" s="388" customFormat="1" ht="15.75" hidden="1" customHeight="1" x14ac:dyDescent="0.2">
      <c r="A60" s="591" t="s">
        <v>573</v>
      </c>
      <c r="B60" s="649"/>
      <c r="C60" s="426"/>
      <c r="D60" s="688"/>
      <c r="E60" s="427"/>
    </row>
    <row r="61" spans="1:6" s="388" customFormat="1" ht="63" hidden="1" customHeight="1" x14ac:dyDescent="0.2">
      <c r="A61" s="591" t="s">
        <v>573</v>
      </c>
      <c r="B61" s="649" t="s">
        <v>582</v>
      </c>
      <c r="C61" s="426"/>
      <c r="D61" s="688" t="s">
        <v>575</v>
      </c>
      <c r="E61" s="427" t="s">
        <v>583</v>
      </c>
    </row>
    <row r="62" spans="1:6" s="388" customFormat="1" ht="15.75" hidden="1" customHeight="1" x14ac:dyDescent="0.2">
      <c r="A62" s="591" t="s">
        <v>573</v>
      </c>
      <c r="B62" s="649" t="s">
        <v>96</v>
      </c>
      <c r="C62" s="426"/>
      <c r="D62" s="688" t="s">
        <v>575</v>
      </c>
      <c r="E62" s="653" t="s">
        <v>584</v>
      </c>
    </row>
    <row r="63" spans="1:6" s="388" customFormat="1" ht="63" hidden="1" customHeight="1" x14ac:dyDescent="0.2">
      <c r="A63" s="591" t="s">
        <v>573</v>
      </c>
      <c r="B63" s="649" t="s">
        <v>96</v>
      </c>
      <c r="C63" s="426"/>
      <c r="D63" s="688" t="s">
        <v>575</v>
      </c>
      <c r="E63" s="427" t="s">
        <v>585</v>
      </c>
    </row>
    <row r="64" spans="1:6" s="398" customFormat="1" ht="63" hidden="1" customHeight="1" x14ac:dyDescent="0.2">
      <c r="A64" s="591" t="s">
        <v>573</v>
      </c>
      <c r="B64" s="649" t="s">
        <v>96</v>
      </c>
      <c r="C64" s="426"/>
      <c r="D64" s="688" t="s">
        <v>575</v>
      </c>
      <c r="E64" s="427" t="s">
        <v>586</v>
      </c>
    </row>
    <row r="65" spans="1:6" s="398" customFormat="1" ht="78.75" customHeight="1" x14ac:dyDescent="0.2">
      <c r="A65" s="591" t="s">
        <v>573</v>
      </c>
      <c r="B65" s="649" t="s">
        <v>104</v>
      </c>
      <c r="C65" s="539">
        <v>-47000</v>
      </c>
      <c r="D65" s="426" t="s">
        <v>1014</v>
      </c>
      <c r="E65" s="654" t="s">
        <v>1091</v>
      </c>
    </row>
    <row r="66" spans="1:6" s="398" customFormat="1" ht="86.45" customHeight="1" x14ac:dyDescent="0.2">
      <c r="A66" s="591" t="s">
        <v>573</v>
      </c>
      <c r="B66" s="649" t="s">
        <v>104</v>
      </c>
      <c r="C66" s="539">
        <f>-25000-11500</f>
        <v>-36500</v>
      </c>
      <c r="D66" s="426" t="s">
        <v>1014</v>
      </c>
      <c r="E66" s="654" t="s">
        <v>1079</v>
      </c>
    </row>
    <row r="67" spans="1:6" s="398" customFormat="1" ht="74.45" customHeight="1" x14ac:dyDescent="0.2">
      <c r="A67" s="591" t="s">
        <v>573</v>
      </c>
      <c r="B67" s="649" t="s">
        <v>104</v>
      </c>
      <c r="C67" s="426">
        <v>196000</v>
      </c>
      <c r="D67" s="426" t="s">
        <v>1014</v>
      </c>
      <c r="E67" s="427" t="s">
        <v>1022</v>
      </c>
    </row>
    <row r="68" spans="1:6" s="398" customFormat="1" ht="48" customHeight="1" x14ac:dyDescent="0.2">
      <c r="A68" s="591" t="s">
        <v>573</v>
      </c>
      <c r="B68" s="649" t="s">
        <v>104</v>
      </c>
      <c r="C68" s="426">
        <f>-49000*4</f>
        <v>-196000</v>
      </c>
      <c r="D68" s="426" t="s">
        <v>1014</v>
      </c>
      <c r="E68" s="427" t="s">
        <v>1021</v>
      </c>
      <c r="F68" s="759">
        <f>C68+C70+C71+C72+C66</f>
        <v>-1263113</v>
      </c>
    </row>
    <row r="69" spans="1:6" s="398" customFormat="1" ht="63" customHeight="1" x14ac:dyDescent="0.2">
      <c r="A69" s="591" t="s">
        <v>573</v>
      </c>
      <c r="B69" s="649" t="s">
        <v>104</v>
      </c>
      <c r="C69" s="426">
        <v>49000</v>
      </c>
      <c r="D69" s="426" t="s">
        <v>1014</v>
      </c>
      <c r="E69" s="427" t="s">
        <v>1035</v>
      </c>
      <c r="F69" s="759">
        <f>C67+C69</f>
        <v>245000</v>
      </c>
    </row>
    <row r="70" spans="1:6" s="388" customFormat="1" ht="52.15" customHeight="1" x14ac:dyDescent="0.2">
      <c r="A70" s="591" t="s">
        <v>573</v>
      </c>
      <c r="B70" s="649" t="s">
        <v>104</v>
      </c>
      <c r="C70" s="426">
        <v>-49000</v>
      </c>
      <c r="D70" s="426" t="s">
        <v>1014</v>
      </c>
      <c r="E70" s="427" t="s">
        <v>1036</v>
      </c>
    </row>
    <row r="71" spans="1:6" s="388" customFormat="1" ht="99" customHeight="1" x14ac:dyDescent="0.2">
      <c r="A71" s="591" t="s">
        <v>573</v>
      </c>
      <c r="B71" s="649" t="s">
        <v>104</v>
      </c>
      <c r="C71" s="426">
        <v>-245904</v>
      </c>
      <c r="D71" s="426" t="s">
        <v>1075</v>
      </c>
      <c r="E71" s="427" t="s">
        <v>1098</v>
      </c>
      <c r="F71" s="388">
        <f>199000+5000+35904+6000</f>
        <v>245904</v>
      </c>
    </row>
    <row r="72" spans="1:6" s="388" customFormat="1" ht="85.9" customHeight="1" x14ac:dyDescent="0.2">
      <c r="A72" s="591" t="s">
        <v>573</v>
      </c>
      <c r="B72" s="649" t="s">
        <v>104</v>
      </c>
      <c r="C72" s="426">
        <v>-735709</v>
      </c>
      <c r="D72" s="426" t="s">
        <v>1014</v>
      </c>
      <c r="E72" s="451" t="s">
        <v>1095</v>
      </c>
      <c r="F72" s="780">
        <f>C71+F71</f>
        <v>0</v>
      </c>
    </row>
    <row r="73" spans="1:6" s="388" customFormat="1" ht="71.45" customHeight="1" x14ac:dyDescent="0.2">
      <c r="A73" s="591" t="s">
        <v>573</v>
      </c>
      <c r="B73" s="713" t="s">
        <v>775</v>
      </c>
      <c r="C73" s="658">
        <v>49000</v>
      </c>
      <c r="D73" s="426" t="s">
        <v>1014</v>
      </c>
      <c r="E73" s="427" t="s">
        <v>1065</v>
      </c>
    </row>
    <row r="74" spans="1:6" s="388" customFormat="1" ht="91.15" hidden="1" customHeight="1" x14ac:dyDescent="0.2">
      <c r="A74" s="591" t="s">
        <v>573</v>
      </c>
      <c r="B74" s="649" t="s">
        <v>124</v>
      </c>
      <c r="C74" s="657"/>
      <c r="D74" s="405" t="s">
        <v>812</v>
      </c>
      <c r="E74" s="427" t="s">
        <v>813</v>
      </c>
    </row>
    <row r="75" spans="1:6" s="388" customFormat="1" ht="94.5" hidden="1" customHeight="1" x14ac:dyDescent="0.2">
      <c r="A75" s="591" t="s">
        <v>573</v>
      </c>
      <c r="B75" s="649" t="s">
        <v>137</v>
      </c>
      <c r="C75" s="657"/>
      <c r="D75" s="426" t="s">
        <v>588</v>
      </c>
      <c r="E75" s="451" t="s">
        <v>944</v>
      </c>
    </row>
    <row r="76" spans="1:6" s="388" customFormat="1" ht="78.75" hidden="1" customHeight="1" x14ac:dyDescent="0.2">
      <c r="A76" s="591" t="s">
        <v>573</v>
      </c>
      <c r="B76" s="649" t="s">
        <v>587</v>
      </c>
      <c r="C76" s="657"/>
      <c r="D76" s="650" t="s">
        <v>589</v>
      </c>
      <c r="E76" s="451" t="s">
        <v>590</v>
      </c>
      <c r="F76" s="388">
        <v>673</v>
      </c>
    </row>
    <row r="77" spans="1:6" s="388" customFormat="1" ht="63" hidden="1" customHeight="1" x14ac:dyDescent="0.2">
      <c r="A77" s="591" t="s">
        <v>573</v>
      </c>
      <c r="B77" s="649" t="s">
        <v>587</v>
      </c>
      <c r="C77" s="657"/>
      <c r="D77" s="650" t="s">
        <v>591</v>
      </c>
      <c r="E77" s="451" t="s">
        <v>592</v>
      </c>
    </row>
    <row r="78" spans="1:6" s="388" customFormat="1" ht="47.25" hidden="1" customHeight="1" x14ac:dyDescent="0.2">
      <c r="A78" s="591" t="s">
        <v>573</v>
      </c>
      <c r="B78" s="649" t="s">
        <v>587</v>
      </c>
      <c r="C78" s="657"/>
      <c r="D78" s="650" t="s">
        <v>591</v>
      </c>
      <c r="E78" s="451" t="s">
        <v>593</v>
      </c>
    </row>
    <row r="79" spans="1:6" s="388" customFormat="1" ht="84.6" hidden="1" customHeight="1" x14ac:dyDescent="0.2">
      <c r="A79" s="591" t="s">
        <v>595</v>
      </c>
      <c r="B79" s="649" t="s">
        <v>596</v>
      </c>
      <c r="C79" s="426"/>
      <c r="D79" s="426" t="s">
        <v>1006</v>
      </c>
      <c r="E79" s="711" t="s">
        <v>1009</v>
      </c>
    </row>
    <row r="80" spans="1:6" s="388" customFormat="1" ht="85.9" customHeight="1" x14ac:dyDescent="0.2">
      <c r="A80" s="591" t="s">
        <v>595</v>
      </c>
      <c r="B80" s="649" t="s">
        <v>596</v>
      </c>
      <c r="C80" s="426">
        <v>199000</v>
      </c>
      <c r="D80" s="426" t="s">
        <v>1006</v>
      </c>
      <c r="E80" s="427" t="s">
        <v>1040</v>
      </c>
    </row>
    <row r="81" spans="1:5" s="388" customFormat="1" ht="78.75" hidden="1" customHeight="1" x14ac:dyDescent="0.2">
      <c r="A81" s="591" t="s">
        <v>595</v>
      </c>
      <c r="B81" s="649" t="s">
        <v>596</v>
      </c>
      <c r="C81" s="426"/>
      <c r="D81" s="650" t="s">
        <v>857</v>
      </c>
      <c r="E81" s="451" t="s">
        <v>856</v>
      </c>
    </row>
    <row r="82" spans="1:5" s="388" customFormat="1" ht="47.25" hidden="1" customHeight="1" x14ac:dyDescent="0.2">
      <c r="A82" s="591" t="s">
        <v>595</v>
      </c>
      <c r="B82" s="649" t="s">
        <v>596</v>
      </c>
      <c r="C82" s="426"/>
      <c r="D82" s="426" t="s">
        <v>846</v>
      </c>
      <c r="E82" s="451" t="s">
        <v>871</v>
      </c>
    </row>
    <row r="83" spans="1:5" s="388" customFormat="1" ht="84" hidden="1" customHeight="1" x14ac:dyDescent="0.2">
      <c r="A83" s="591" t="s">
        <v>595</v>
      </c>
      <c r="B83" s="649" t="s">
        <v>146</v>
      </c>
      <c r="C83" s="426"/>
      <c r="D83" s="426" t="s">
        <v>847</v>
      </c>
      <c r="E83" s="451" t="s">
        <v>844</v>
      </c>
    </row>
    <row r="84" spans="1:5" s="388" customFormat="1" ht="87.6" hidden="1" customHeight="1" x14ac:dyDescent="0.2">
      <c r="A84" s="591" t="s">
        <v>595</v>
      </c>
      <c r="B84" s="649" t="s">
        <v>146</v>
      </c>
      <c r="C84" s="426"/>
      <c r="D84" s="650" t="s">
        <v>857</v>
      </c>
      <c r="E84" s="451" t="s">
        <v>855</v>
      </c>
    </row>
    <row r="85" spans="1:5" s="388" customFormat="1" ht="76.900000000000006" customHeight="1" x14ac:dyDescent="0.2">
      <c r="A85" s="591" t="s">
        <v>595</v>
      </c>
      <c r="B85" s="649" t="s">
        <v>737</v>
      </c>
      <c r="C85" s="657">
        <v>999656</v>
      </c>
      <c r="D85" s="426" t="s">
        <v>1027</v>
      </c>
      <c r="E85" s="427" t="s">
        <v>1093</v>
      </c>
    </row>
    <row r="86" spans="1:5" s="388" customFormat="1" ht="97.15" customHeight="1" x14ac:dyDescent="0.2">
      <c r="A86" s="591" t="s">
        <v>595</v>
      </c>
      <c r="B86" s="649" t="s">
        <v>737</v>
      </c>
      <c r="C86" s="426">
        <v>5000</v>
      </c>
      <c r="D86" s="426" t="s">
        <v>1026</v>
      </c>
      <c r="E86" s="427" t="s">
        <v>1020</v>
      </c>
    </row>
    <row r="87" spans="1:5" s="388" customFormat="1" ht="99" customHeight="1" x14ac:dyDescent="0.2">
      <c r="A87" s="591" t="s">
        <v>595</v>
      </c>
      <c r="B87" s="649" t="s">
        <v>737</v>
      </c>
      <c r="C87" s="426">
        <v>12208</v>
      </c>
      <c r="D87" s="426" t="s">
        <v>1067</v>
      </c>
      <c r="E87" s="451" t="s">
        <v>1074</v>
      </c>
    </row>
    <row r="88" spans="1:5" s="388" customFormat="1" ht="57" hidden="1" customHeight="1" x14ac:dyDescent="0.2">
      <c r="A88" s="599" t="s">
        <v>595</v>
      </c>
      <c r="B88" s="655" t="s">
        <v>737</v>
      </c>
      <c r="C88" s="657"/>
      <c r="D88" s="650" t="s">
        <v>878</v>
      </c>
      <c r="E88" s="451" t="s">
        <v>993</v>
      </c>
    </row>
    <row r="89" spans="1:5" s="388" customFormat="1" ht="90" hidden="1" customHeight="1" x14ac:dyDescent="0.2">
      <c r="A89" s="591" t="s">
        <v>599</v>
      </c>
      <c r="B89" s="649" t="s">
        <v>737</v>
      </c>
      <c r="C89" s="657"/>
      <c r="D89" s="650" t="s">
        <v>774</v>
      </c>
      <c r="E89" s="451" t="s">
        <v>961</v>
      </c>
    </row>
    <row r="90" spans="1:5" s="388" customFormat="1" ht="102.6" hidden="1" customHeight="1" x14ac:dyDescent="0.2">
      <c r="A90" s="591" t="s">
        <v>599</v>
      </c>
      <c r="B90" s="649" t="s">
        <v>146</v>
      </c>
      <c r="C90" s="657"/>
      <c r="D90" s="426" t="s">
        <v>806</v>
      </c>
      <c r="E90" s="451" t="s">
        <v>962</v>
      </c>
    </row>
    <row r="91" spans="1:5" s="388" customFormat="1" ht="141" hidden="1" customHeight="1" x14ac:dyDescent="0.2">
      <c r="A91" s="591" t="s">
        <v>599</v>
      </c>
      <c r="B91" s="649" t="s">
        <v>146</v>
      </c>
      <c r="C91" s="657"/>
      <c r="D91" s="426" t="s">
        <v>806</v>
      </c>
      <c r="E91" s="451" t="s">
        <v>963</v>
      </c>
    </row>
    <row r="92" spans="1:5" s="388" customFormat="1" ht="47.25" hidden="1" customHeight="1" x14ac:dyDescent="0.2">
      <c r="A92" s="591" t="s">
        <v>599</v>
      </c>
      <c r="B92" s="649" t="s">
        <v>598</v>
      </c>
      <c r="C92" s="657"/>
      <c r="D92" s="650" t="s">
        <v>600</v>
      </c>
      <c r="E92" s="451" t="s">
        <v>601</v>
      </c>
    </row>
    <row r="93" spans="1:5" s="388" customFormat="1" ht="47.25" hidden="1" customHeight="1" x14ac:dyDescent="0.2">
      <c r="A93" s="591" t="s">
        <v>595</v>
      </c>
      <c r="B93" s="649" t="s">
        <v>598</v>
      </c>
      <c r="C93" s="657"/>
      <c r="D93" s="650" t="s">
        <v>600</v>
      </c>
      <c r="E93" s="451" t="s">
        <v>602</v>
      </c>
    </row>
    <row r="94" spans="1:5" s="388" customFormat="1" ht="47.25" hidden="1" customHeight="1" x14ac:dyDescent="0.2">
      <c r="A94" s="591" t="s">
        <v>599</v>
      </c>
      <c r="B94" s="649" t="s">
        <v>598</v>
      </c>
      <c r="C94" s="657"/>
      <c r="D94" s="656" t="s">
        <v>600</v>
      </c>
      <c r="E94" s="451" t="s">
        <v>603</v>
      </c>
    </row>
    <row r="95" spans="1:5" s="388" customFormat="1" ht="75.599999999999994" customHeight="1" x14ac:dyDescent="0.2">
      <c r="A95" s="591" t="s">
        <v>599</v>
      </c>
      <c r="B95" s="649" t="s">
        <v>1061</v>
      </c>
      <c r="C95" s="657">
        <v>-177918</v>
      </c>
      <c r="D95" s="650" t="s">
        <v>1063</v>
      </c>
      <c r="E95" s="451" t="s">
        <v>1062</v>
      </c>
    </row>
    <row r="96" spans="1:5" s="388" customFormat="1" ht="63" hidden="1" customHeight="1" x14ac:dyDescent="0.2">
      <c r="A96" s="591" t="s">
        <v>599</v>
      </c>
      <c r="B96" s="655" t="s">
        <v>745</v>
      </c>
      <c r="C96" s="657"/>
      <c r="D96" s="426" t="s">
        <v>806</v>
      </c>
      <c r="E96" s="451" t="s">
        <v>964</v>
      </c>
    </row>
    <row r="97" spans="1:5" s="388" customFormat="1" ht="81.599999999999994" customHeight="1" x14ac:dyDescent="0.2">
      <c r="A97" s="599" t="s">
        <v>599</v>
      </c>
      <c r="B97" s="655" t="s">
        <v>745</v>
      </c>
      <c r="C97" s="657">
        <v>10000</v>
      </c>
      <c r="D97" s="650" t="s">
        <v>1063</v>
      </c>
      <c r="E97" s="451" t="s">
        <v>1077</v>
      </c>
    </row>
    <row r="98" spans="1:5" s="388" customFormat="1" ht="45.6" hidden="1" customHeight="1" x14ac:dyDescent="0.2">
      <c r="A98" s="591" t="s">
        <v>599</v>
      </c>
      <c r="B98" s="649" t="s">
        <v>604</v>
      </c>
      <c r="C98" s="657"/>
      <c r="D98" s="650" t="s">
        <v>1063</v>
      </c>
      <c r="E98" s="451" t="s">
        <v>605</v>
      </c>
    </row>
    <row r="99" spans="1:5" s="384" customFormat="1" ht="94.9" customHeight="1" x14ac:dyDescent="0.2">
      <c r="A99" s="591" t="s">
        <v>599</v>
      </c>
      <c r="B99" s="649" t="s">
        <v>786</v>
      </c>
      <c r="C99" s="657">
        <v>30000</v>
      </c>
      <c r="D99" s="650" t="s">
        <v>1063</v>
      </c>
      <c r="E99" s="451" t="s">
        <v>1015</v>
      </c>
    </row>
    <row r="100" spans="1:5" s="384" customFormat="1" ht="78.75" x14ac:dyDescent="0.2">
      <c r="A100" s="591" t="s">
        <v>599</v>
      </c>
      <c r="B100" s="649" t="s">
        <v>786</v>
      </c>
      <c r="C100" s="657">
        <v>1904</v>
      </c>
      <c r="D100" s="426" t="s">
        <v>1016</v>
      </c>
      <c r="E100" s="451" t="s">
        <v>1097</v>
      </c>
    </row>
    <row r="101" spans="1:5" s="384" customFormat="1" ht="63" customHeight="1" x14ac:dyDescent="0.2">
      <c r="A101" s="591" t="s">
        <v>599</v>
      </c>
      <c r="B101" s="649" t="s">
        <v>157</v>
      </c>
      <c r="C101" s="657">
        <v>-30000</v>
      </c>
      <c r="D101" s="426" t="s">
        <v>1067</v>
      </c>
      <c r="E101" s="451" t="s">
        <v>1066</v>
      </c>
    </row>
    <row r="102" spans="1:5" s="388" customFormat="1" ht="84.6" hidden="1" customHeight="1" x14ac:dyDescent="0.2">
      <c r="A102" s="591" t="s">
        <v>599</v>
      </c>
      <c r="B102" s="649" t="s">
        <v>879</v>
      </c>
      <c r="C102" s="657"/>
      <c r="D102" s="650" t="s">
        <v>878</v>
      </c>
      <c r="E102" s="451" t="s">
        <v>992</v>
      </c>
    </row>
    <row r="103" spans="1:5" s="388" customFormat="1" ht="78.75" hidden="1" customHeight="1" x14ac:dyDescent="0.2">
      <c r="A103" s="591" t="s">
        <v>599</v>
      </c>
      <c r="B103" s="649" t="s">
        <v>606</v>
      </c>
      <c r="C103" s="426"/>
      <c r="D103" s="650" t="s">
        <v>597</v>
      </c>
      <c r="E103" s="427" t="s">
        <v>607</v>
      </c>
    </row>
    <row r="104" spans="1:5" s="388" customFormat="1" ht="47.25" hidden="1" customHeight="1" x14ac:dyDescent="0.2">
      <c r="A104" s="591" t="s">
        <v>599</v>
      </c>
      <c r="B104" s="649" t="s">
        <v>606</v>
      </c>
      <c r="C104" s="426"/>
      <c r="D104" s="650" t="s">
        <v>608</v>
      </c>
      <c r="E104" s="451" t="s">
        <v>609</v>
      </c>
    </row>
    <row r="105" spans="1:5" s="388" customFormat="1" ht="47.25" hidden="1" customHeight="1" x14ac:dyDescent="0.2">
      <c r="A105" s="591" t="s">
        <v>599</v>
      </c>
      <c r="B105" s="649" t="s">
        <v>610</v>
      </c>
      <c r="C105" s="426"/>
      <c r="D105" s="650" t="s">
        <v>597</v>
      </c>
      <c r="E105" s="451" t="s">
        <v>611</v>
      </c>
    </row>
    <row r="106" spans="1:5" s="388" customFormat="1" ht="94.5" hidden="1" x14ac:dyDescent="0.2">
      <c r="A106" s="591" t="s">
        <v>599</v>
      </c>
      <c r="B106" s="649" t="s">
        <v>454</v>
      </c>
      <c r="C106" s="426"/>
      <c r="D106" s="426" t="s">
        <v>749</v>
      </c>
      <c r="E106" s="427" t="s">
        <v>750</v>
      </c>
    </row>
    <row r="107" spans="1:5" s="388" customFormat="1" ht="99.6" hidden="1" customHeight="1" x14ac:dyDescent="0.2">
      <c r="A107" s="591" t="s">
        <v>599</v>
      </c>
      <c r="B107" s="649" t="s">
        <v>811</v>
      </c>
      <c r="C107" s="426"/>
      <c r="D107" s="426" t="s">
        <v>806</v>
      </c>
      <c r="E107" s="690" t="s">
        <v>825</v>
      </c>
    </row>
    <row r="108" spans="1:5" s="388" customFormat="1" ht="107.45" hidden="1" customHeight="1" x14ac:dyDescent="0.2">
      <c r="A108" s="591" t="s">
        <v>599</v>
      </c>
      <c r="B108" s="649" t="s">
        <v>805</v>
      </c>
      <c r="C108" s="659"/>
      <c r="D108" s="426" t="s">
        <v>806</v>
      </c>
      <c r="E108" s="528" t="s">
        <v>826</v>
      </c>
    </row>
    <row r="109" spans="1:5" s="388" customFormat="1" ht="78.75" hidden="1" x14ac:dyDescent="0.2">
      <c r="A109" s="591" t="s">
        <v>599</v>
      </c>
      <c r="B109" s="649" t="s">
        <v>805</v>
      </c>
      <c r="C109" s="426"/>
      <c r="D109" s="426"/>
      <c r="E109" s="427" t="s">
        <v>807</v>
      </c>
    </row>
    <row r="110" spans="1:5" s="388" customFormat="1" ht="67.900000000000006" hidden="1" customHeight="1" x14ac:dyDescent="0.2">
      <c r="A110" s="591" t="s">
        <v>599</v>
      </c>
      <c r="B110" s="649" t="s">
        <v>454</v>
      </c>
      <c r="C110" s="426"/>
      <c r="D110" s="426" t="s">
        <v>810</v>
      </c>
      <c r="E110" s="496" t="s">
        <v>827</v>
      </c>
    </row>
    <row r="111" spans="1:5" s="388" customFormat="1" ht="94.5" hidden="1" customHeight="1" x14ac:dyDescent="0.2">
      <c r="A111" s="648" t="s">
        <v>612</v>
      </c>
      <c r="B111" s="649" t="s">
        <v>692</v>
      </c>
      <c r="C111" s="426"/>
      <c r="D111" s="650" t="s">
        <v>738</v>
      </c>
      <c r="E111" s="427" t="s">
        <v>742</v>
      </c>
    </row>
    <row r="112" spans="1:5" s="388" customFormat="1" ht="60.6" hidden="1" customHeight="1" x14ac:dyDescent="0.2">
      <c r="A112" s="648" t="s">
        <v>612</v>
      </c>
      <c r="B112" s="649" t="s">
        <v>613</v>
      </c>
      <c r="C112" s="688"/>
      <c r="D112" s="426" t="s">
        <v>761</v>
      </c>
      <c r="E112" s="427" t="s">
        <v>875</v>
      </c>
    </row>
    <row r="113" spans="1:6" s="388" customFormat="1" ht="110.25" hidden="1" customHeight="1" x14ac:dyDescent="0.2">
      <c r="A113" s="648" t="s">
        <v>612</v>
      </c>
      <c r="B113" s="649" t="s">
        <v>686</v>
      </c>
      <c r="C113" s="426"/>
      <c r="D113" s="426" t="s">
        <v>687</v>
      </c>
      <c r="E113" s="427" t="s">
        <v>688</v>
      </c>
    </row>
    <row r="114" spans="1:6" s="388" customFormat="1" ht="78.75" hidden="1" customHeight="1" x14ac:dyDescent="0.2">
      <c r="A114" s="648" t="s">
        <v>612</v>
      </c>
      <c r="B114" s="649" t="s">
        <v>614</v>
      </c>
      <c r="C114" s="426"/>
      <c r="D114" s="426" t="s">
        <v>687</v>
      </c>
      <c r="E114" s="427" t="s">
        <v>715</v>
      </c>
    </row>
    <row r="115" spans="1:6" s="388" customFormat="1" ht="132.6" customHeight="1" x14ac:dyDescent="0.2">
      <c r="A115" s="648" t="s">
        <v>612</v>
      </c>
      <c r="B115" s="649" t="s">
        <v>614</v>
      </c>
      <c r="C115" s="426">
        <v>11500</v>
      </c>
      <c r="D115" s="426" t="s">
        <v>1076</v>
      </c>
      <c r="E115" s="427" t="s">
        <v>1094</v>
      </c>
    </row>
    <row r="116" spans="1:6" s="388" customFormat="1" ht="63" hidden="1" customHeight="1" x14ac:dyDescent="0.2">
      <c r="A116" s="648" t="s">
        <v>612</v>
      </c>
      <c r="B116" s="649" t="s">
        <v>614</v>
      </c>
      <c r="C116" s="426"/>
      <c r="D116" s="426" t="s">
        <v>635</v>
      </c>
      <c r="E116" s="427" t="s">
        <v>654</v>
      </c>
    </row>
    <row r="117" spans="1:6" s="388" customFormat="1" ht="63" hidden="1" customHeight="1" x14ac:dyDescent="0.2">
      <c r="A117" s="648" t="s">
        <v>612</v>
      </c>
      <c r="B117" s="649" t="s">
        <v>614</v>
      </c>
      <c r="C117" s="426"/>
      <c r="D117" s="426" t="s">
        <v>635</v>
      </c>
      <c r="E117" s="427" t="s">
        <v>655</v>
      </c>
    </row>
    <row r="118" spans="1:6" s="388" customFormat="1" ht="78.75" hidden="1" x14ac:dyDescent="0.2">
      <c r="A118" s="648" t="s">
        <v>612</v>
      </c>
      <c r="B118" s="649" t="s">
        <v>614</v>
      </c>
      <c r="C118" s="659"/>
      <c r="D118" s="426" t="s">
        <v>868</v>
      </c>
      <c r="E118" s="427" t="s">
        <v>874</v>
      </c>
    </row>
    <row r="119" spans="1:6" s="388" customFormat="1" ht="117.6" hidden="1" customHeight="1" x14ac:dyDescent="0.2">
      <c r="A119" s="648" t="s">
        <v>612</v>
      </c>
      <c r="B119" s="649" t="s">
        <v>614</v>
      </c>
      <c r="C119" s="426"/>
      <c r="D119" s="426" t="s">
        <v>937</v>
      </c>
      <c r="E119" s="427" t="s">
        <v>938</v>
      </c>
    </row>
    <row r="120" spans="1:6" s="388" customFormat="1" ht="129.6" hidden="1" customHeight="1" x14ac:dyDescent="0.2">
      <c r="A120" s="648" t="s">
        <v>612</v>
      </c>
      <c r="B120" s="649" t="s">
        <v>614</v>
      </c>
      <c r="C120" s="426"/>
      <c r="D120" s="426" t="s">
        <v>937</v>
      </c>
      <c r="E120" s="451" t="s">
        <v>939</v>
      </c>
    </row>
    <row r="121" spans="1:6" s="388" customFormat="1" ht="103.15" hidden="1" customHeight="1" x14ac:dyDescent="0.2">
      <c r="A121" s="648" t="s">
        <v>612</v>
      </c>
      <c r="B121" s="649" t="s">
        <v>614</v>
      </c>
      <c r="C121" s="426"/>
      <c r="D121" s="426" t="s">
        <v>956</v>
      </c>
      <c r="E121" s="427" t="s">
        <v>957</v>
      </c>
    </row>
    <row r="122" spans="1:6" s="388" customFormat="1" ht="103.9" hidden="1" customHeight="1" x14ac:dyDescent="0.2">
      <c r="A122" s="648" t="s">
        <v>612</v>
      </c>
      <c r="B122" s="649" t="s">
        <v>614</v>
      </c>
      <c r="C122" s="426"/>
      <c r="D122" s="426" t="s">
        <v>956</v>
      </c>
      <c r="E122" s="451" t="s">
        <v>958</v>
      </c>
    </row>
    <row r="123" spans="1:6" s="388" customFormat="1" ht="97.9" hidden="1" customHeight="1" x14ac:dyDescent="0.2">
      <c r="A123" s="648" t="s">
        <v>612</v>
      </c>
      <c r="B123" s="649" t="s">
        <v>614</v>
      </c>
      <c r="C123" s="426"/>
      <c r="D123" s="426" t="s">
        <v>935</v>
      </c>
      <c r="E123" s="427" t="s">
        <v>934</v>
      </c>
    </row>
    <row r="124" spans="1:6" s="388" customFormat="1" ht="94.5" hidden="1" x14ac:dyDescent="0.2">
      <c r="A124" s="648" t="s">
        <v>612</v>
      </c>
      <c r="B124" s="649" t="s">
        <v>614</v>
      </c>
      <c r="C124" s="426"/>
      <c r="D124" s="426" t="s">
        <v>935</v>
      </c>
      <c r="E124" s="427" t="s">
        <v>934</v>
      </c>
    </row>
    <row r="125" spans="1:6" s="388" customFormat="1" ht="97.9" hidden="1" customHeight="1" x14ac:dyDescent="0.2">
      <c r="A125" s="648" t="s">
        <v>612</v>
      </c>
      <c r="B125" s="649" t="s">
        <v>614</v>
      </c>
      <c r="C125" s="426"/>
      <c r="D125" s="426" t="s">
        <v>935</v>
      </c>
      <c r="E125" s="427" t="s">
        <v>971</v>
      </c>
    </row>
    <row r="126" spans="1:6" s="388" customFormat="1" ht="97.9" hidden="1" customHeight="1" x14ac:dyDescent="0.2">
      <c r="A126" s="648" t="s">
        <v>612</v>
      </c>
      <c r="B126" s="649" t="s">
        <v>614</v>
      </c>
      <c r="C126" s="426"/>
      <c r="D126" s="426" t="s">
        <v>935</v>
      </c>
      <c r="E126" s="427" t="s">
        <v>972</v>
      </c>
    </row>
    <row r="127" spans="1:6" s="388" customFormat="1" ht="111" customHeight="1" x14ac:dyDescent="0.2">
      <c r="A127" s="648" t="s">
        <v>612</v>
      </c>
      <c r="B127" s="649" t="s">
        <v>615</v>
      </c>
      <c r="C127" s="426">
        <v>25000</v>
      </c>
      <c r="D127" s="650" t="s">
        <v>1033</v>
      </c>
      <c r="E127" s="427" t="s">
        <v>1034</v>
      </c>
      <c r="F127" s="720"/>
    </row>
    <row r="128" spans="1:6" s="388" customFormat="1" ht="94.15" hidden="1" customHeight="1" x14ac:dyDescent="0.2">
      <c r="A128" s="648" t="s">
        <v>612</v>
      </c>
      <c r="B128" s="649" t="s">
        <v>615</v>
      </c>
      <c r="C128" s="426"/>
      <c r="D128" s="650" t="s">
        <v>949</v>
      </c>
      <c r="E128" s="427" t="s">
        <v>978</v>
      </c>
    </row>
    <row r="129" spans="1:5" s="388" customFormat="1" ht="100.9" hidden="1" customHeight="1" x14ac:dyDescent="0.2">
      <c r="A129" s="648" t="s">
        <v>612</v>
      </c>
      <c r="B129" s="649" t="s">
        <v>615</v>
      </c>
      <c r="C129" s="426"/>
      <c r="D129" s="650" t="s">
        <v>949</v>
      </c>
      <c r="E129" s="427" t="s">
        <v>942</v>
      </c>
    </row>
    <row r="130" spans="1:5" s="388" customFormat="1" ht="63" hidden="1" customHeight="1" x14ac:dyDescent="0.2">
      <c r="A130" s="648" t="s">
        <v>612</v>
      </c>
      <c r="B130" s="649" t="s">
        <v>615</v>
      </c>
      <c r="C130" s="426"/>
      <c r="D130" s="650" t="s">
        <v>735</v>
      </c>
      <c r="E130" s="427" t="s">
        <v>734</v>
      </c>
    </row>
    <row r="131" spans="1:5" s="388" customFormat="1" ht="63" hidden="1" customHeight="1" x14ac:dyDescent="0.2">
      <c r="A131" s="648" t="s">
        <v>612</v>
      </c>
      <c r="B131" s="649" t="s">
        <v>615</v>
      </c>
      <c r="C131" s="426"/>
      <c r="D131" s="426" t="s">
        <v>707</v>
      </c>
      <c r="E131" s="427" t="s">
        <v>656</v>
      </c>
    </row>
    <row r="132" spans="1:5" s="388" customFormat="1" ht="47.25" hidden="1" customHeight="1" x14ac:dyDescent="0.2">
      <c r="A132" s="648" t="s">
        <v>612</v>
      </c>
      <c r="B132" s="649" t="s">
        <v>615</v>
      </c>
      <c r="C132" s="426"/>
      <c r="D132" s="426" t="s">
        <v>707</v>
      </c>
      <c r="E132" s="427" t="s">
        <v>657</v>
      </c>
    </row>
    <row r="133" spans="1:5" s="388" customFormat="1" ht="63" hidden="1" customHeight="1" x14ac:dyDescent="0.2">
      <c r="A133" s="648" t="s">
        <v>612</v>
      </c>
      <c r="B133" s="649" t="s">
        <v>615</v>
      </c>
      <c r="C133" s="426"/>
      <c r="D133" s="426" t="s">
        <v>707</v>
      </c>
      <c r="E133" s="427" t="s">
        <v>658</v>
      </c>
    </row>
    <row r="134" spans="1:5" s="388" customFormat="1" ht="47.25" hidden="1" customHeight="1" x14ac:dyDescent="0.2">
      <c r="A134" s="648" t="s">
        <v>612</v>
      </c>
      <c r="B134" s="649" t="s">
        <v>615</v>
      </c>
      <c r="C134" s="426"/>
      <c r="D134" s="426" t="s">
        <v>707</v>
      </c>
      <c r="E134" s="427" t="s">
        <v>659</v>
      </c>
    </row>
    <row r="135" spans="1:5" s="388" customFormat="1" ht="63" hidden="1" customHeight="1" x14ac:dyDescent="0.2">
      <c r="A135" s="648" t="s">
        <v>612</v>
      </c>
      <c r="B135" s="649" t="s">
        <v>615</v>
      </c>
      <c r="C135" s="659"/>
      <c r="D135" s="426" t="s">
        <v>707</v>
      </c>
      <c r="E135" s="427" t="s">
        <v>793</v>
      </c>
    </row>
    <row r="136" spans="1:5" s="388" customFormat="1" ht="63" hidden="1" customHeight="1" x14ac:dyDescent="0.2">
      <c r="A136" s="648" t="s">
        <v>612</v>
      </c>
      <c r="B136" s="649" t="s">
        <v>615</v>
      </c>
      <c r="C136" s="659"/>
      <c r="D136" s="426" t="s">
        <v>834</v>
      </c>
      <c r="E136" s="427" t="s">
        <v>869</v>
      </c>
    </row>
    <row r="137" spans="1:5" s="388" customFormat="1" ht="78.75" hidden="1" customHeight="1" x14ac:dyDescent="0.2">
      <c r="A137" s="648" t="s">
        <v>612</v>
      </c>
      <c r="B137" s="649" t="s">
        <v>615</v>
      </c>
      <c r="C137" s="659"/>
      <c r="D137" s="426" t="s">
        <v>834</v>
      </c>
      <c r="E137" s="427" t="s">
        <v>835</v>
      </c>
    </row>
    <row r="138" spans="1:5" s="388" customFormat="1" ht="78.75" hidden="1" customHeight="1" x14ac:dyDescent="0.2">
      <c r="A138" s="648" t="s">
        <v>612</v>
      </c>
      <c r="B138" s="649" t="s">
        <v>615</v>
      </c>
      <c r="C138" s="659"/>
      <c r="D138" s="426" t="s">
        <v>838</v>
      </c>
      <c r="E138" s="427" t="s">
        <v>839</v>
      </c>
    </row>
    <row r="139" spans="1:5" s="388" customFormat="1" ht="2.4500000000000002" hidden="1" customHeight="1" x14ac:dyDescent="0.2">
      <c r="A139" s="648" t="s">
        <v>612</v>
      </c>
      <c r="B139" s="649" t="s">
        <v>615</v>
      </c>
      <c r="C139" s="659"/>
      <c r="D139" s="426" t="s">
        <v>838</v>
      </c>
      <c r="E139" s="427" t="s">
        <v>872</v>
      </c>
    </row>
    <row r="140" spans="1:5" s="388" customFormat="1" ht="94.15" customHeight="1" x14ac:dyDescent="0.2">
      <c r="A140" s="648" t="s">
        <v>612</v>
      </c>
      <c r="B140" s="649" t="s">
        <v>615</v>
      </c>
      <c r="C140" s="659">
        <v>42000</v>
      </c>
      <c r="D140" s="426" t="s">
        <v>1038</v>
      </c>
      <c r="E140" s="427" t="s">
        <v>1096</v>
      </c>
    </row>
    <row r="141" spans="1:5" s="388" customFormat="1" ht="73.900000000000006" customHeight="1" x14ac:dyDescent="0.2">
      <c r="A141" s="648" t="s">
        <v>612</v>
      </c>
      <c r="B141" s="649" t="s">
        <v>615</v>
      </c>
      <c r="C141" s="659">
        <v>3000</v>
      </c>
      <c r="D141" s="426" t="s">
        <v>1038</v>
      </c>
      <c r="E141" s="427" t="s">
        <v>1037</v>
      </c>
    </row>
    <row r="142" spans="1:5" s="388" customFormat="1" ht="72.599999999999994" customHeight="1" x14ac:dyDescent="0.2">
      <c r="A142" s="648" t="s">
        <v>612</v>
      </c>
      <c r="B142" s="649" t="s">
        <v>615</v>
      </c>
      <c r="C142" s="659">
        <v>50000</v>
      </c>
      <c r="D142" s="426" t="s">
        <v>1028</v>
      </c>
      <c r="E142" s="427" t="s">
        <v>1017</v>
      </c>
    </row>
    <row r="143" spans="1:5" s="388" customFormat="1" ht="91.9" hidden="1" customHeight="1" x14ac:dyDescent="0.2">
      <c r="A143" s="648" t="s">
        <v>612</v>
      </c>
      <c r="B143" s="649" t="s">
        <v>615</v>
      </c>
      <c r="C143" s="659"/>
      <c r="D143" s="426" t="s">
        <v>789</v>
      </c>
      <c r="E143" s="427" t="s">
        <v>788</v>
      </c>
    </row>
    <row r="144" spans="1:5" s="388" customFormat="1" ht="63" hidden="1" customHeight="1" x14ac:dyDescent="0.2">
      <c r="A144" s="648" t="s">
        <v>612</v>
      </c>
      <c r="B144" s="649" t="s">
        <v>615</v>
      </c>
      <c r="C144" s="659"/>
      <c r="D144" s="426" t="s">
        <v>707</v>
      </c>
      <c r="E144" s="427" t="s">
        <v>685</v>
      </c>
    </row>
    <row r="145" spans="1:5" s="388" customFormat="1" ht="78.75" hidden="1" x14ac:dyDescent="0.2">
      <c r="A145" s="648" t="s">
        <v>612</v>
      </c>
      <c r="B145" s="649" t="s">
        <v>615</v>
      </c>
      <c r="C145" s="659"/>
      <c r="D145" s="426" t="s">
        <v>759</v>
      </c>
      <c r="E145" s="427" t="s">
        <v>873</v>
      </c>
    </row>
    <row r="146" spans="1:5" s="388" customFormat="1" ht="63" hidden="1" x14ac:dyDescent="0.2">
      <c r="A146" s="648" t="s">
        <v>612</v>
      </c>
      <c r="B146" s="649" t="s">
        <v>615</v>
      </c>
      <c r="C146" s="659"/>
      <c r="D146" s="426" t="s">
        <v>837</v>
      </c>
      <c r="E146" s="427" t="s">
        <v>836</v>
      </c>
    </row>
    <row r="147" spans="1:5" s="388" customFormat="1" ht="70.5" hidden="1" customHeight="1" x14ac:dyDescent="0.2">
      <c r="A147" s="648"/>
      <c r="B147" s="649"/>
      <c r="C147" s="659"/>
      <c r="D147" s="426"/>
      <c r="E147" s="427"/>
    </row>
    <row r="148" spans="1:5" s="388" customFormat="1" ht="63" hidden="1" customHeight="1" x14ac:dyDescent="0.2">
      <c r="A148" s="648" t="s">
        <v>612</v>
      </c>
      <c r="B148" s="649" t="s">
        <v>615</v>
      </c>
      <c r="C148" s="659"/>
      <c r="D148" s="426" t="s">
        <v>728</v>
      </c>
      <c r="E148" s="427" t="s">
        <v>722</v>
      </c>
    </row>
    <row r="149" spans="1:5" s="388" customFormat="1" ht="63" hidden="1" customHeight="1" x14ac:dyDescent="0.2">
      <c r="A149" s="648" t="s">
        <v>612</v>
      </c>
      <c r="B149" s="649" t="s">
        <v>615</v>
      </c>
      <c r="C149" s="659"/>
      <c r="D149" s="426" t="s">
        <v>728</v>
      </c>
      <c r="E149" s="427" t="s">
        <v>723</v>
      </c>
    </row>
    <row r="150" spans="1:5" s="388" customFormat="1" ht="63" hidden="1" customHeight="1" x14ac:dyDescent="0.2">
      <c r="A150" s="648" t="s">
        <v>612</v>
      </c>
      <c r="B150" s="649" t="s">
        <v>615</v>
      </c>
      <c r="C150" s="659"/>
      <c r="D150" s="426" t="s">
        <v>728</v>
      </c>
      <c r="E150" s="427" t="s">
        <v>724</v>
      </c>
    </row>
    <row r="151" spans="1:5" s="388" customFormat="1" ht="63" hidden="1" customHeight="1" x14ac:dyDescent="0.2">
      <c r="A151" s="648" t="s">
        <v>612</v>
      </c>
      <c r="B151" s="649" t="s">
        <v>615</v>
      </c>
      <c r="C151" s="659"/>
      <c r="D151" s="426" t="s">
        <v>728</v>
      </c>
      <c r="E151" s="427" t="s">
        <v>727</v>
      </c>
    </row>
    <row r="152" spans="1:5" s="388" customFormat="1" ht="63" hidden="1" customHeight="1" x14ac:dyDescent="0.2">
      <c r="A152" s="648" t="s">
        <v>612</v>
      </c>
      <c r="B152" s="649" t="s">
        <v>615</v>
      </c>
      <c r="C152" s="659"/>
      <c r="D152" s="426" t="s">
        <v>728</v>
      </c>
      <c r="E152" s="427" t="s">
        <v>729</v>
      </c>
    </row>
    <row r="153" spans="1:5" s="388" customFormat="1" ht="63" hidden="1" customHeight="1" x14ac:dyDescent="0.2">
      <c r="A153" s="648" t="s">
        <v>612</v>
      </c>
      <c r="B153" s="649" t="s">
        <v>615</v>
      </c>
      <c r="C153" s="659"/>
      <c r="D153" s="426" t="s">
        <v>728</v>
      </c>
      <c r="E153" s="427" t="s">
        <v>725</v>
      </c>
    </row>
    <row r="154" spans="1:5" s="388" customFormat="1" ht="72" hidden="1" customHeight="1" x14ac:dyDescent="0.2">
      <c r="A154" s="648" t="s">
        <v>612</v>
      </c>
      <c r="B154" s="649" t="s">
        <v>686</v>
      </c>
      <c r="C154" s="659"/>
      <c r="D154" s="426" t="s">
        <v>808</v>
      </c>
      <c r="E154" s="427" t="s">
        <v>828</v>
      </c>
    </row>
    <row r="155" spans="1:5" s="388" customFormat="1" ht="54.6" hidden="1" customHeight="1" x14ac:dyDescent="0.2">
      <c r="A155" s="648" t="s">
        <v>612</v>
      </c>
      <c r="B155" s="649" t="s">
        <v>689</v>
      </c>
      <c r="C155" s="426"/>
      <c r="D155" s="426" t="s">
        <v>950</v>
      </c>
      <c r="E155" s="451" t="s">
        <v>954</v>
      </c>
    </row>
    <row r="156" spans="1:5" s="388" customFormat="1" ht="91.15" hidden="1" customHeight="1" x14ac:dyDescent="0.2">
      <c r="A156" s="648" t="s">
        <v>612</v>
      </c>
      <c r="B156" s="649" t="s">
        <v>689</v>
      </c>
      <c r="C156" s="426"/>
      <c r="D156" s="426" t="s">
        <v>809</v>
      </c>
      <c r="E156" s="451" t="s">
        <v>830</v>
      </c>
    </row>
    <row r="157" spans="1:5" s="388" customFormat="1" ht="78.75" hidden="1" x14ac:dyDescent="0.2">
      <c r="A157" s="648" t="s">
        <v>612</v>
      </c>
      <c r="B157" s="649" t="s">
        <v>692</v>
      </c>
      <c r="C157" s="426"/>
      <c r="D157" s="426" t="s">
        <v>936</v>
      </c>
      <c r="E157" s="496" t="s">
        <v>948</v>
      </c>
    </row>
    <row r="158" spans="1:5" s="388" customFormat="1" ht="159.6" hidden="1" customHeight="1" thickBot="1" x14ac:dyDescent="0.25">
      <c r="A158" s="671" t="s">
        <v>612</v>
      </c>
      <c r="B158" s="672" t="s">
        <v>696</v>
      </c>
      <c r="C158" s="673"/>
      <c r="D158" s="689" t="s">
        <v>787</v>
      </c>
      <c r="E158" s="674" t="s">
        <v>790</v>
      </c>
    </row>
    <row r="159" spans="1:5" s="388" customFormat="1" ht="116.45" hidden="1" customHeight="1" x14ac:dyDescent="0.2">
      <c r="A159" s="385" t="s">
        <v>616</v>
      </c>
      <c r="B159" s="664" t="s">
        <v>163</v>
      </c>
      <c r="C159" s="722"/>
      <c r="D159" s="392" t="s">
        <v>960</v>
      </c>
      <c r="E159" s="665" t="s">
        <v>984</v>
      </c>
    </row>
    <row r="160" spans="1:5" s="388" customFormat="1" ht="84" customHeight="1" x14ac:dyDescent="0.2">
      <c r="A160" s="389" t="s">
        <v>616</v>
      </c>
      <c r="B160" s="391" t="s">
        <v>458</v>
      </c>
      <c r="C160" s="450">
        <v>-35380</v>
      </c>
      <c r="D160" s="650" t="s">
        <v>1058</v>
      </c>
      <c r="E160" s="393" t="s">
        <v>1092</v>
      </c>
    </row>
    <row r="161" spans="1:6" s="388" customFormat="1" ht="63" hidden="1" customHeight="1" x14ac:dyDescent="0.2">
      <c r="A161" s="389" t="s">
        <v>616</v>
      </c>
      <c r="B161" s="391" t="s">
        <v>461</v>
      </c>
      <c r="C161" s="450"/>
      <c r="D161" s="650" t="s">
        <v>860</v>
      </c>
      <c r="E161" s="711" t="s">
        <v>867</v>
      </c>
    </row>
    <row r="162" spans="1:6" s="388" customFormat="1" ht="63" hidden="1" customHeight="1" x14ac:dyDescent="0.2">
      <c r="A162" s="389" t="s">
        <v>616</v>
      </c>
      <c r="B162" s="391" t="s">
        <v>465</v>
      </c>
      <c r="C162" s="450"/>
      <c r="D162" s="650" t="s">
        <v>860</v>
      </c>
      <c r="E162" s="393" t="s">
        <v>618</v>
      </c>
    </row>
    <row r="163" spans="1:6" s="388" customFormat="1" ht="31.5" hidden="1" customHeight="1" x14ac:dyDescent="0.2">
      <c r="A163" s="401" t="s">
        <v>616</v>
      </c>
      <c r="B163" s="396" t="s">
        <v>468</v>
      </c>
      <c r="C163" s="600"/>
      <c r="D163" s="650" t="s">
        <v>860</v>
      </c>
      <c r="E163" s="393" t="s">
        <v>736</v>
      </c>
    </row>
    <row r="164" spans="1:6" s="388" customFormat="1" ht="88.15" hidden="1" customHeight="1" x14ac:dyDescent="0.2">
      <c r="A164" s="401" t="s">
        <v>616</v>
      </c>
      <c r="B164" s="396" t="s">
        <v>468</v>
      </c>
      <c r="C164" s="641"/>
      <c r="D164" s="650" t="s">
        <v>860</v>
      </c>
      <c r="E164" s="496" t="s">
        <v>778</v>
      </c>
    </row>
    <row r="165" spans="1:6" s="388" customFormat="1" ht="81" customHeight="1" thickBot="1" x14ac:dyDescent="0.25">
      <c r="A165" s="401" t="s">
        <v>616</v>
      </c>
      <c r="B165" s="396" t="s">
        <v>472</v>
      </c>
      <c r="C165" s="450">
        <v>35380</v>
      </c>
      <c r="D165" s="650" t="s">
        <v>1058</v>
      </c>
      <c r="E165" s="393" t="s">
        <v>1055</v>
      </c>
    </row>
    <row r="166" spans="1:6" s="388" customFormat="1" ht="103.9" hidden="1" customHeight="1" x14ac:dyDescent="0.2">
      <c r="A166" s="389" t="s">
        <v>616</v>
      </c>
      <c r="B166" s="391" t="s">
        <v>166</v>
      </c>
      <c r="C166" s="390"/>
      <c r="D166" s="405" t="s">
        <v>812</v>
      </c>
      <c r="E166" s="427" t="s">
        <v>815</v>
      </c>
    </row>
    <row r="167" spans="1:6" s="388" customFormat="1" ht="95.45" hidden="1" customHeight="1" x14ac:dyDescent="0.2">
      <c r="A167" s="406" t="s">
        <v>565</v>
      </c>
      <c r="B167" s="407" t="s">
        <v>713</v>
      </c>
      <c r="C167" s="397"/>
      <c r="D167" s="539" t="s">
        <v>940</v>
      </c>
      <c r="E167" s="386" t="s">
        <v>985</v>
      </c>
    </row>
    <row r="168" spans="1:6" s="388" customFormat="1" ht="130.15" hidden="1" customHeight="1" x14ac:dyDescent="0.2">
      <c r="A168" s="406" t="s">
        <v>565</v>
      </c>
      <c r="B168" s="407" t="s">
        <v>713</v>
      </c>
      <c r="C168" s="397"/>
      <c r="D168" s="539" t="s">
        <v>951</v>
      </c>
      <c r="E168" s="393" t="s">
        <v>986</v>
      </c>
    </row>
    <row r="169" spans="1:6" s="384" customFormat="1" ht="135.6" hidden="1" customHeight="1" thickBot="1" x14ac:dyDescent="0.25">
      <c r="A169" s="406" t="s">
        <v>565</v>
      </c>
      <c r="B169" s="407" t="s">
        <v>713</v>
      </c>
      <c r="C169" s="397"/>
      <c r="D169" s="539" t="s">
        <v>945</v>
      </c>
      <c r="E169" s="393" t="s">
        <v>987</v>
      </c>
    </row>
    <row r="170" spans="1:6" ht="16.5" thickBot="1" x14ac:dyDescent="0.25">
      <c r="A170" s="903" t="s">
        <v>619</v>
      </c>
      <c r="B170" s="904"/>
      <c r="C170" s="408">
        <f>SUM(C7:C169)</f>
        <v>690921</v>
      </c>
      <c r="D170" s="409">
        <f>C170-'Дод 1'!C99</f>
        <v>-2098829</v>
      </c>
      <c r="E170" s="410">
        <f>C170-95000</f>
        <v>595921</v>
      </c>
      <c r="F170" s="421"/>
    </row>
    <row r="171" spans="1:6" ht="15.75" x14ac:dyDescent="0.2">
      <c r="A171" s="893" t="s">
        <v>620</v>
      </c>
      <c r="B171" s="894"/>
      <c r="C171" s="895"/>
      <c r="D171" s="895"/>
      <c r="E171" s="896"/>
    </row>
    <row r="172" spans="1:6" ht="48" hidden="1" customHeight="1" thickBot="1" x14ac:dyDescent="0.25">
      <c r="A172" s="394" t="s">
        <v>573</v>
      </c>
      <c r="B172" s="395" t="s">
        <v>17</v>
      </c>
      <c r="C172" s="404"/>
      <c r="D172" s="392" t="s">
        <v>574</v>
      </c>
      <c r="E172" s="386" t="s">
        <v>621</v>
      </c>
    </row>
    <row r="173" spans="1:6" ht="110.25" hidden="1" x14ac:dyDescent="0.2">
      <c r="A173" s="394" t="s">
        <v>573</v>
      </c>
      <c r="B173" s="597" t="s">
        <v>33</v>
      </c>
      <c r="C173" s="539"/>
      <c r="D173" s="539" t="s">
        <v>752</v>
      </c>
      <c r="E173" s="496" t="s">
        <v>757</v>
      </c>
    </row>
    <row r="174" spans="1:6" ht="110.25" hidden="1" x14ac:dyDescent="0.2">
      <c r="A174" s="402" t="s">
        <v>612</v>
      </c>
      <c r="B174" s="527" t="s">
        <v>689</v>
      </c>
      <c r="C174" s="400"/>
      <c r="D174" s="497" t="s">
        <v>752</v>
      </c>
      <c r="E174" s="496" t="s">
        <v>758</v>
      </c>
    </row>
    <row r="175" spans="1:6" ht="66" hidden="1" customHeight="1" thickBot="1" x14ac:dyDescent="0.25">
      <c r="A175" s="406" t="s">
        <v>573</v>
      </c>
      <c r="B175" s="702" t="s">
        <v>78</v>
      </c>
      <c r="C175" s="641"/>
      <c r="D175" s="689" t="s">
        <v>795</v>
      </c>
      <c r="E175" s="413" t="s">
        <v>794</v>
      </c>
    </row>
    <row r="176" spans="1:6" ht="72" hidden="1" customHeight="1" x14ac:dyDescent="0.2">
      <c r="A176" s="394" t="s">
        <v>573</v>
      </c>
      <c r="B176" s="667" t="s">
        <v>87</v>
      </c>
      <c r="C176" s="668"/>
      <c r="D176" s="703" t="s">
        <v>808</v>
      </c>
      <c r="E176" s="669" t="s">
        <v>831</v>
      </c>
    </row>
    <row r="177" spans="1:5" ht="105.6" hidden="1" customHeight="1" x14ac:dyDescent="0.2">
      <c r="A177" s="389" t="s">
        <v>573</v>
      </c>
      <c r="B177" s="399" t="s">
        <v>87</v>
      </c>
      <c r="C177" s="404"/>
      <c r="D177" s="539" t="s">
        <v>773</v>
      </c>
      <c r="E177" s="603" t="s">
        <v>779</v>
      </c>
    </row>
    <row r="178" spans="1:5" ht="45.6" hidden="1" customHeight="1" x14ac:dyDescent="0.2">
      <c r="A178" s="389" t="s">
        <v>573</v>
      </c>
      <c r="B178" s="399" t="s">
        <v>87</v>
      </c>
      <c r="C178" s="539"/>
      <c r="D178" s="539" t="s">
        <v>808</v>
      </c>
      <c r="E178" s="604" t="s">
        <v>829</v>
      </c>
    </row>
    <row r="179" spans="1:5" ht="102" hidden="1" customHeight="1" x14ac:dyDescent="0.2">
      <c r="A179" s="389" t="s">
        <v>573</v>
      </c>
      <c r="B179" s="399" t="s">
        <v>87</v>
      </c>
      <c r="C179" s="404"/>
      <c r="D179" s="404" t="s">
        <v>581</v>
      </c>
      <c r="E179" s="393" t="s">
        <v>622</v>
      </c>
    </row>
    <row r="180" spans="1:5" ht="54.6" hidden="1" customHeight="1" x14ac:dyDescent="0.2">
      <c r="A180" s="389" t="s">
        <v>573</v>
      </c>
      <c r="B180" s="399" t="s">
        <v>582</v>
      </c>
      <c r="C180" s="404"/>
      <c r="D180" s="404" t="s">
        <v>1056</v>
      </c>
      <c r="E180" s="386" t="s">
        <v>1057</v>
      </c>
    </row>
    <row r="181" spans="1:5" ht="82.15" customHeight="1" x14ac:dyDescent="0.2">
      <c r="A181" s="712" t="s">
        <v>573</v>
      </c>
      <c r="B181" s="713" t="s">
        <v>100</v>
      </c>
      <c r="C181" s="657">
        <v>62131</v>
      </c>
      <c r="D181" s="539" t="s">
        <v>1100</v>
      </c>
      <c r="E181" s="721" t="s">
        <v>1101</v>
      </c>
    </row>
    <row r="182" spans="1:5" ht="64.150000000000006" customHeight="1" x14ac:dyDescent="0.2">
      <c r="A182" s="389" t="s">
        <v>573</v>
      </c>
      <c r="B182" s="399" t="s">
        <v>1080</v>
      </c>
      <c r="C182" s="657">
        <v>210000</v>
      </c>
      <c r="D182" s="539" t="s">
        <v>1053</v>
      </c>
      <c r="E182" s="427" t="s">
        <v>1052</v>
      </c>
    </row>
    <row r="183" spans="1:5" ht="102" hidden="1" customHeight="1" x14ac:dyDescent="0.2">
      <c r="A183" s="389" t="s">
        <v>573</v>
      </c>
      <c r="B183" s="399" t="s">
        <v>546</v>
      </c>
      <c r="C183" s="426"/>
      <c r="D183" s="539" t="s">
        <v>808</v>
      </c>
      <c r="E183" s="427" t="s">
        <v>797</v>
      </c>
    </row>
    <row r="184" spans="1:5" ht="94.15" customHeight="1" x14ac:dyDescent="0.2">
      <c r="A184" s="389" t="s">
        <v>573</v>
      </c>
      <c r="B184" s="399" t="s">
        <v>546</v>
      </c>
      <c r="C184" s="657">
        <f>-999656</f>
        <v>-999656</v>
      </c>
      <c r="D184" s="426" t="s">
        <v>1027</v>
      </c>
      <c r="E184" s="427" t="s">
        <v>1029</v>
      </c>
    </row>
    <row r="185" spans="1:5" ht="60" customHeight="1" x14ac:dyDescent="0.2">
      <c r="A185" s="389" t="s">
        <v>573</v>
      </c>
      <c r="B185" s="391" t="s">
        <v>546</v>
      </c>
      <c r="C185" s="450">
        <v>-48975</v>
      </c>
      <c r="D185" s="497" t="s">
        <v>1045</v>
      </c>
      <c r="E185" s="427" t="s">
        <v>1089</v>
      </c>
    </row>
    <row r="186" spans="1:5" ht="32.25" hidden="1" thickBot="1" x14ac:dyDescent="0.25">
      <c r="A186" s="389" t="s">
        <v>573</v>
      </c>
      <c r="B186" s="391" t="s">
        <v>419</v>
      </c>
      <c r="C186" s="450"/>
      <c r="D186" s="668" t="s">
        <v>791</v>
      </c>
      <c r="E186" s="393" t="s">
        <v>638</v>
      </c>
    </row>
    <row r="187" spans="1:5" ht="35.450000000000003" hidden="1" customHeight="1" thickBot="1" x14ac:dyDescent="0.25">
      <c r="A187" s="389" t="s">
        <v>573</v>
      </c>
      <c r="B187" s="449" t="s">
        <v>422</v>
      </c>
      <c r="C187" s="450"/>
      <c r="D187" s="668" t="s">
        <v>791</v>
      </c>
      <c r="E187" s="451" t="s">
        <v>647</v>
      </c>
    </row>
    <row r="188" spans="1:5" ht="120.6" hidden="1" customHeight="1" thickBot="1" x14ac:dyDescent="0.25">
      <c r="A188" s="389" t="s">
        <v>573</v>
      </c>
      <c r="B188" s="391" t="s">
        <v>133</v>
      </c>
      <c r="C188" s="450"/>
      <c r="D188" s="668" t="s">
        <v>862</v>
      </c>
      <c r="E188" s="604" t="s">
        <v>864</v>
      </c>
    </row>
    <row r="189" spans="1:5" ht="118.15" hidden="1" customHeight="1" thickBot="1" x14ac:dyDescent="0.25">
      <c r="A189" s="389" t="s">
        <v>573</v>
      </c>
      <c r="B189" s="391" t="s">
        <v>133</v>
      </c>
      <c r="C189" s="450"/>
      <c r="D189" s="668" t="s">
        <v>862</v>
      </c>
      <c r="E189" s="604" t="s">
        <v>863</v>
      </c>
    </row>
    <row r="190" spans="1:5" ht="102" hidden="1" customHeight="1" x14ac:dyDescent="0.2">
      <c r="A190" s="389" t="s">
        <v>573</v>
      </c>
      <c r="B190" s="399" t="s">
        <v>536</v>
      </c>
      <c r="C190" s="450"/>
      <c r="D190" s="668" t="s">
        <v>791</v>
      </c>
      <c r="E190" s="393" t="s">
        <v>623</v>
      </c>
    </row>
    <row r="191" spans="1:5" ht="79.5" hidden="1" thickBot="1" x14ac:dyDescent="0.25">
      <c r="A191" s="389" t="s">
        <v>573</v>
      </c>
      <c r="B191" s="399" t="s">
        <v>104</v>
      </c>
      <c r="C191" s="450"/>
      <c r="D191" s="426" t="s">
        <v>814</v>
      </c>
      <c r="E191" s="654" t="s">
        <v>832</v>
      </c>
    </row>
    <row r="192" spans="1:5" ht="78.75" x14ac:dyDescent="0.2">
      <c r="A192" s="591" t="s">
        <v>595</v>
      </c>
      <c r="B192" s="649" t="s">
        <v>737</v>
      </c>
      <c r="C192" s="426">
        <v>17792</v>
      </c>
      <c r="D192" s="426" t="s">
        <v>1067</v>
      </c>
      <c r="E192" s="451" t="s">
        <v>1068</v>
      </c>
    </row>
    <row r="193" spans="1:5" ht="74.45" customHeight="1" x14ac:dyDescent="0.2">
      <c r="A193" s="591" t="s">
        <v>595</v>
      </c>
      <c r="B193" s="649" t="s">
        <v>1064</v>
      </c>
      <c r="C193" s="450">
        <v>177918</v>
      </c>
      <c r="D193" s="650" t="s">
        <v>1063</v>
      </c>
      <c r="E193" s="451" t="s">
        <v>1062</v>
      </c>
    </row>
    <row r="194" spans="1:5" ht="87.6" customHeight="1" x14ac:dyDescent="0.2">
      <c r="A194" s="591" t="s">
        <v>595</v>
      </c>
      <c r="B194" s="649" t="s">
        <v>845</v>
      </c>
      <c r="C194" s="450">
        <v>895500</v>
      </c>
      <c r="D194" s="426" t="s">
        <v>1007</v>
      </c>
      <c r="E194" s="451" t="s">
        <v>1008</v>
      </c>
    </row>
    <row r="195" spans="1:5" ht="78.75" hidden="1" x14ac:dyDescent="0.2">
      <c r="A195" s="591" t="s">
        <v>599</v>
      </c>
      <c r="B195" s="649" t="s">
        <v>146</v>
      </c>
      <c r="C195" s="426"/>
      <c r="D195" s="426" t="s">
        <v>880</v>
      </c>
      <c r="E195" s="427" t="s">
        <v>881</v>
      </c>
    </row>
    <row r="196" spans="1:5" ht="69.599999999999994" hidden="1" customHeight="1" x14ac:dyDescent="0.2">
      <c r="A196" s="591" t="s">
        <v>599</v>
      </c>
      <c r="B196" s="649" t="s">
        <v>879</v>
      </c>
      <c r="C196" s="657"/>
      <c r="D196" s="426" t="s">
        <v>878</v>
      </c>
      <c r="E196" s="451" t="s">
        <v>994</v>
      </c>
    </row>
    <row r="197" spans="1:5" ht="70.900000000000006" hidden="1" customHeight="1" x14ac:dyDescent="0.2">
      <c r="A197" s="389" t="s">
        <v>599</v>
      </c>
      <c r="B197" s="399" t="s">
        <v>624</v>
      </c>
      <c r="C197" s="450"/>
      <c r="D197" s="426" t="s">
        <v>880</v>
      </c>
      <c r="E197" s="451" t="s">
        <v>988</v>
      </c>
    </row>
    <row r="198" spans="1:5" ht="73.150000000000006" hidden="1" customHeight="1" x14ac:dyDescent="0.2">
      <c r="A198" s="389" t="s">
        <v>599</v>
      </c>
      <c r="B198" s="399" t="s">
        <v>624</v>
      </c>
      <c r="C198" s="426"/>
      <c r="D198" s="426" t="s">
        <v>880</v>
      </c>
      <c r="E198" s="427" t="s">
        <v>882</v>
      </c>
    </row>
    <row r="199" spans="1:5" ht="70.900000000000006" hidden="1" customHeight="1" x14ac:dyDescent="0.2">
      <c r="A199" s="389" t="s">
        <v>599</v>
      </c>
      <c r="B199" s="399" t="s">
        <v>624</v>
      </c>
      <c r="C199" s="450"/>
      <c r="D199" s="426" t="s">
        <v>880</v>
      </c>
      <c r="E199" s="528" t="s">
        <v>989</v>
      </c>
    </row>
    <row r="200" spans="1:5" ht="15.75" hidden="1" x14ac:dyDescent="0.2">
      <c r="A200" s="389"/>
      <c r="B200" s="391"/>
      <c r="C200" s="450"/>
      <c r="D200" s="426"/>
      <c r="E200" s="711"/>
    </row>
    <row r="201" spans="1:5" ht="126" hidden="1" x14ac:dyDescent="0.2">
      <c r="A201" s="389" t="s">
        <v>565</v>
      </c>
      <c r="B201" s="391" t="s">
        <v>714</v>
      </c>
      <c r="C201" s="450"/>
      <c r="D201" s="650" t="s">
        <v>848</v>
      </c>
      <c r="E201" s="427" t="s">
        <v>840</v>
      </c>
    </row>
    <row r="202" spans="1:5" ht="94.5" hidden="1" customHeight="1" x14ac:dyDescent="0.2">
      <c r="A202" s="389" t="s">
        <v>565</v>
      </c>
      <c r="B202" s="391" t="s">
        <v>713</v>
      </c>
      <c r="C202" s="600"/>
      <c r="D202" s="392" t="s">
        <v>697</v>
      </c>
      <c r="E202" s="528" t="s">
        <v>721</v>
      </c>
    </row>
    <row r="203" spans="1:5" ht="126" hidden="1" customHeight="1" x14ac:dyDescent="0.2">
      <c r="A203" s="389" t="s">
        <v>565</v>
      </c>
      <c r="B203" s="391" t="s">
        <v>713</v>
      </c>
      <c r="C203" s="450"/>
      <c r="D203" s="392" t="s">
        <v>699</v>
      </c>
      <c r="E203" s="427" t="s">
        <v>733</v>
      </c>
    </row>
    <row r="204" spans="1:5" ht="78.75" hidden="1" customHeight="1" x14ac:dyDescent="0.2">
      <c r="A204" s="389" t="s">
        <v>599</v>
      </c>
      <c r="B204" s="399" t="s">
        <v>624</v>
      </c>
      <c r="C204" s="641"/>
      <c r="D204" s="392" t="s">
        <v>608</v>
      </c>
      <c r="E204" s="386" t="s">
        <v>625</v>
      </c>
    </row>
    <row r="205" spans="1:5" ht="63" customHeight="1" x14ac:dyDescent="0.2">
      <c r="A205" s="402" t="s">
        <v>612</v>
      </c>
      <c r="B205" s="399" t="s">
        <v>1073</v>
      </c>
      <c r="C205" s="426">
        <v>1799250</v>
      </c>
      <c r="D205" s="404" t="s">
        <v>1056</v>
      </c>
      <c r="E205" s="386" t="s">
        <v>1078</v>
      </c>
    </row>
    <row r="206" spans="1:5" ht="31.5" hidden="1" customHeight="1" x14ac:dyDescent="0.2">
      <c r="A206" s="406" t="s">
        <v>616</v>
      </c>
      <c r="B206" s="411" t="s">
        <v>617</v>
      </c>
      <c r="C206" s="641"/>
      <c r="D206" s="412" t="s">
        <v>626</v>
      </c>
      <c r="E206" s="413" t="s">
        <v>627</v>
      </c>
    </row>
    <row r="207" spans="1:5" ht="94.15" customHeight="1" thickBot="1" x14ac:dyDescent="0.25">
      <c r="A207" s="406" t="s">
        <v>616</v>
      </c>
      <c r="B207" s="411" t="s">
        <v>461</v>
      </c>
      <c r="C207" s="790">
        <v>47000</v>
      </c>
      <c r="D207" s="412" t="s">
        <v>1058</v>
      </c>
      <c r="E207" s="414" t="s">
        <v>1090</v>
      </c>
    </row>
    <row r="208" spans="1:5" ht="63" hidden="1" customHeight="1" x14ac:dyDescent="0.2">
      <c r="A208" s="389" t="s">
        <v>616</v>
      </c>
      <c r="B208" s="411" t="s">
        <v>468</v>
      </c>
      <c r="C208" s="403"/>
      <c r="D208" s="412" t="s">
        <v>628</v>
      </c>
      <c r="E208" s="414" t="s">
        <v>629</v>
      </c>
    </row>
    <row r="209" spans="1:6" ht="48" hidden="1" customHeight="1" thickBot="1" x14ac:dyDescent="0.25">
      <c r="A209" s="415" t="s">
        <v>616</v>
      </c>
      <c r="B209" s="416" t="s">
        <v>472</v>
      </c>
      <c r="C209" s="403"/>
      <c r="D209" s="417" t="s">
        <v>630</v>
      </c>
      <c r="E209" s="393" t="s">
        <v>631</v>
      </c>
    </row>
    <row r="210" spans="1:6" ht="16.5" thickBot="1" x14ac:dyDescent="0.25">
      <c r="A210" s="906" t="s">
        <v>619</v>
      </c>
      <c r="B210" s="907"/>
      <c r="C210" s="418">
        <f>SUM(C172:C209)</f>
        <v>2160960</v>
      </c>
      <c r="D210" s="419">
        <f>C180+C194</f>
        <v>895500</v>
      </c>
      <c r="E210" s="420">
        <v>7537.52</v>
      </c>
      <c r="F210" s="421"/>
    </row>
    <row r="211" spans="1:6" ht="16.5" thickBot="1" x14ac:dyDescent="0.25">
      <c r="A211" s="908" t="s">
        <v>632</v>
      </c>
      <c r="B211" s="909"/>
      <c r="C211" s="408">
        <f>C170+C210</f>
        <v>2851881</v>
      </c>
      <c r="D211" s="422">
        <f>C182+C184+C185+C207+C193</f>
        <v>-613713</v>
      </c>
      <c r="E211" s="423"/>
    </row>
    <row r="212" spans="1:6" ht="46.9" hidden="1" customHeight="1" x14ac:dyDescent="0.2">
      <c r="A212" s="910" t="s">
        <v>706</v>
      </c>
      <c r="B212" s="911"/>
      <c r="C212" s="911"/>
      <c r="D212" s="911"/>
      <c r="E212" s="911"/>
    </row>
    <row r="213" spans="1:6" ht="27" customHeight="1" x14ac:dyDescent="0.25">
      <c r="A213" s="929" t="s">
        <v>1107</v>
      </c>
      <c r="B213" s="929"/>
      <c r="C213" s="929"/>
      <c r="D213" s="929"/>
      <c r="E213" s="929"/>
    </row>
    <row r="214" spans="1:6" ht="15.75" hidden="1" x14ac:dyDescent="0.2">
      <c r="A214" s="905" t="s">
        <v>1039</v>
      </c>
      <c r="B214" s="905"/>
      <c r="C214" s="905"/>
      <c r="D214" s="905"/>
      <c r="E214" s="905"/>
    </row>
    <row r="215" spans="1:6" ht="15.75" hidden="1" x14ac:dyDescent="0.2">
      <c r="A215" s="372"/>
      <c r="B215" s="373"/>
      <c r="C215" s="374"/>
      <c r="D215" s="375"/>
      <c r="E215" s="375"/>
    </row>
    <row r="216" spans="1:6" ht="15.75" hidden="1" x14ac:dyDescent="0.2">
      <c r="A216" s="772"/>
      <c r="B216" s="773"/>
      <c r="C216" s="774">
        <v>251000</v>
      </c>
      <c r="D216" s="774">
        <v>251000</v>
      </c>
      <c r="E216" s="775" t="s">
        <v>1043</v>
      </c>
    </row>
    <row r="217" spans="1:6" ht="15.75" hidden="1" x14ac:dyDescent="0.2">
      <c r="A217" s="772"/>
      <c r="B217" s="213" t="s">
        <v>1049</v>
      </c>
      <c r="C217" s="777">
        <f>130000-65000</f>
        <v>65000</v>
      </c>
      <c r="D217" s="775">
        <v>65000</v>
      </c>
      <c r="E217" s="775" t="s">
        <v>1041</v>
      </c>
    </row>
    <row r="218" spans="1:6" ht="15.75" hidden="1" x14ac:dyDescent="0.2">
      <c r="A218" s="772"/>
      <c r="B218" s="773"/>
      <c r="C218" s="774">
        <v>46025</v>
      </c>
      <c r="D218" s="775"/>
      <c r="E218" s="775" t="s">
        <v>1042</v>
      </c>
    </row>
    <row r="219" spans="1:6" ht="15.75" hidden="1" x14ac:dyDescent="0.2">
      <c r="A219" s="772"/>
      <c r="B219" s="773"/>
      <c r="C219" s="774">
        <v>200000</v>
      </c>
      <c r="D219" s="775"/>
      <c r="E219" s="775" t="s">
        <v>1050</v>
      </c>
    </row>
    <row r="220" spans="1:6" ht="15.75" hidden="1" x14ac:dyDescent="0.2">
      <c r="A220" s="772"/>
      <c r="B220" s="773"/>
      <c r="C220" s="774">
        <v>22602</v>
      </c>
      <c r="D220" s="775"/>
      <c r="E220" s="775" t="s">
        <v>1051</v>
      </c>
    </row>
    <row r="221" spans="1:6" ht="15.75" hidden="1" x14ac:dyDescent="0.2">
      <c r="A221" s="772"/>
      <c r="B221" s="773"/>
      <c r="C221" s="774">
        <v>172250</v>
      </c>
      <c r="D221" s="774">
        <v>172250</v>
      </c>
      <c r="E221" s="775" t="s">
        <v>1044</v>
      </c>
    </row>
    <row r="222" spans="1:6" ht="15.75" hidden="1" x14ac:dyDescent="0.2">
      <c r="A222" s="772"/>
      <c r="B222" s="773"/>
      <c r="C222" s="774"/>
      <c r="D222" s="775"/>
      <c r="E222" s="775" t="s">
        <v>1046</v>
      </c>
    </row>
    <row r="223" spans="1:6" ht="15.75" hidden="1" x14ac:dyDescent="0.2">
      <c r="A223" s="772"/>
      <c r="B223" s="773"/>
      <c r="C223" s="774">
        <v>1200000</v>
      </c>
      <c r="D223" s="775">
        <v>511750</v>
      </c>
      <c r="E223" s="775" t="s">
        <v>1047</v>
      </c>
    </row>
    <row r="224" spans="1:6" ht="15.75" hidden="1" x14ac:dyDescent="0.2">
      <c r="A224" s="772" t="s">
        <v>619</v>
      </c>
      <c r="B224" s="773"/>
      <c r="C224" s="774">
        <f>SUM(C216:C223)</f>
        <v>1956877</v>
      </c>
      <c r="D224" s="774">
        <f>SUM(D216:D223)</f>
        <v>1000000</v>
      </c>
      <c r="E224" s="775"/>
    </row>
    <row r="225" spans="1:5" ht="47.25" hidden="1" x14ac:dyDescent="0.2">
      <c r="A225" s="774" t="s">
        <v>1048</v>
      </c>
      <c r="B225" s="773"/>
      <c r="C225" s="372">
        <v>1000000</v>
      </c>
      <c r="D225" s="775">
        <f>C225-D224</f>
        <v>0</v>
      </c>
      <c r="E225" s="775"/>
    </row>
    <row r="226" spans="1:5" ht="15.75" hidden="1" x14ac:dyDescent="0.2">
      <c r="A226" s="772"/>
      <c r="B226" s="773"/>
      <c r="C226" s="774"/>
      <c r="D226" s="775"/>
      <c r="E226" s="775"/>
    </row>
    <row r="227" spans="1:5" ht="15.75" hidden="1" x14ac:dyDescent="0.2">
      <c r="A227" s="772"/>
      <c r="B227" s="773"/>
      <c r="C227" s="774"/>
      <c r="D227" s="775"/>
      <c r="E227" s="775"/>
    </row>
    <row r="228" spans="1:5" ht="15.75" hidden="1" x14ac:dyDescent="0.2">
      <c r="A228" s="372"/>
      <c r="B228" s="373"/>
      <c r="C228" s="374"/>
      <c r="D228" s="375"/>
      <c r="E228" s="375"/>
    </row>
    <row r="229" spans="1:5" ht="15.75" hidden="1" x14ac:dyDescent="0.2">
      <c r="A229" s="372"/>
      <c r="B229" s="373"/>
      <c r="C229" s="374"/>
      <c r="D229" s="375"/>
      <c r="E229" s="375"/>
    </row>
    <row r="230" spans="1:5" ht="15.75" hidden="1" x14ac:dyDescent="0.2">
      <c r="A230" s="372"/>
      <c r="B230" s="373"/>
      <c r="C230" s="374"/>
      <c r="D230" s="375"/>
      <c r="E230" s="375"/>
    </row>
    <row r="231" spans="1:5" ht="15.75" hidden="1" x14ac:dyDescent="0.2">
      <c r="A231" s="372"/>
      <c r="B231" s="373"/>
      <c r="C231" s="374"/>
      <c r="D231" s="375"/>
      <c r="E231" s="375"/>
    </row>
    <row r="232" spans="1:5" ht="15.75" hidden="1" x14ac:dyDescent="0.2">
      <c r="A232" s="372"/>
      <c r="B232" s="373"/>
      <c r="C232" s="374">
        <f>D210+'Дод 1'!C99</f>
        <v>3685250</v>
      </c>
      <c r="D232" s="375">
        <f>C211-D210-'Дод 1'!C99</f>
        <v>-833369</v>
      </c>
      <c r="E232" s="375"/>
    </row>
    <row r="233" spans="1:5" hidden="1" x14ac:dyDescent="0.2">
      <c r="C233" s="425">
        <f>C210+355196</f>
        <v>2516156</v>
      </c>
      <c r="E233" s="421"/>
    </row>
    <row r="234" spans="1:5" hidden="1" x14ac:dyDescent="0.2">
      <c r="C234" s="425">
        <f>D210-C233</f>
        <v>-1620656</v>
      </c>
    </row>
    <row r="235" spans="1:5" hidden="1" x14ac:dyDescent="0.2">
      <c r="C235" s="425">
        <f>'Дод 1'!C99-C211</f>
        <v>-62131</v>
      </c>
      <c r="D235" s="421">
        <f>E211+D211</f>
        <v>-613713</v>
      </c>
    </row>
    <row r="236" spans="1:5" hidden="1" x14ac:dyDescent="0.2">
      <c r="E236" s="377" t="s">
        <v>796</v>
      </c>
    </row>
    <row r="237" spans="1:5" hidden="1" x14ac:dyDescent="0.2">
      <c r="C237" s="425">
        <f>C235+D211</f>
        <v>-675844</v>
      </c>
    </row>
    <row r="238" spans="1:5" hidden="1" x14ac:dyDescent="0.2">
      <c r="C238" s="425">
        <f>C237+E211</f>
        <v>-675844</v>
      </c>
      <c r="D238" s="421">
        <f>C211-'дод 3 '!R157</f>
        <v>0</v>
      </c>
    </row>
    <row r="239" spans="1:5" hidden="1" x14ac:dyDescent="0.2"/>
    <row r="240" spans="1:5" hidden="1" x14ac:dyDescent="0.2"/>
    <row r="241" hidden="1" x14ac:dyDescent="0.2"/>
    <row r="242" hidden="1" x14ac:dyDescent="0.2"/>
    <row r="243" hidden="1" x14ac:dyDescent="0.2"/>
    <row r="244" hidden="1" x14ac:dyDescent="0.2"/>
    <row r="245" hidden="1" x14ac:dyDescent="0.2"/>
    <row r="246" ht="33" customHeight="1" x14ac:dyDescent="0.2"/>
  </sheetData>
  <autoFilter ref="A6:E201"/>
  <mergeCells count="11">
    <mergeCell ref="A214:E214"/>
    <mergeCell ref="A210:B210"/>
    <mergeCell ref="A211:B211"/>
    <mergeCell ref="A212:E212"/>
    <mergeCell ref="A213:E213"/>
    <mergeCell ref="A171:E171"/>
    <mergeCell ref="A2:E2"/>
    <mergeCell ref="A3:E3"/>
    <mergeCell ref="A4:C4"/>
    <mergeCell ref="A5:C5"/>
    <mergeCell ref="A170:B170"/>
  </mergeCells>
  <pageMargins left="0.78740157480314965" right="0.78740157480314965" top="1.1811023622047245" bottom="0.39370078740157483" header="0.23622047244094491" footer="0.19685039370078741"/>
  <pageSetup paperSize="9" scale="78" fitToHeight="8" orientation="landscape" horizontalDpi="360" verticalDpi="36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tabSelected="1" view="pageBreakPreview" zoomScale="75" zoomScaleNormal="100" zoomScaleSheetLayoutView="75" workbookViewId="0">
      <selection activeCell="A2" sqref="A2:XFD72"/>
    </sheetView>
  </sheetViews>
  <sheetFormatPr defaultRowHeight="12.75" x14ac:dyDescent="0.2"/>
  <cols>
    <col min="1" max="1" width="11.42578125" customWidth="1"/>
    <col min="2" max="2" width="50.7109375" style="717" customWidth="1"/>
    <col min="3" max="3" width="16" style="718" customWidth="1"/>
    <col min="4" max="4" width="14.7109375" style="718" customWidth="1"/>
    <col min="5" max="5" width="14.140625" style="718" customWidth="1"/>
    <col min="6" max="6" width="16.5703125" style="718" customWidth="1"/>
    <col min="7" max="7" width="15.7109375" style="718" customWidth="1"/>
    <col min="8" max="8" width="9.42578125" style="718" customWidth="1"/>
  </cols>
  <sheetData>
    <row r="1" spans="1:8" ht="15.75" x14ac:dyDescent="0.2">
      <c r="F1" s="741" t="s">
        <v>977</v>
      </c>
    </row>
    <row r="2" spans="1:8" ht="15.75" hidden="1" x14ac:dyDescent="0.2">
      <c r="F2" s="741" t="s">
        <v>833</v>
      </c>
    </row>
    <row r="3" spans="1:8" ht="15.75" hidden="1" x14ac:dyDescent="0.2">
      <c r="A3" s="714"/>
      <c r="B3" s="715"/>
      <c r="C3" s="716"/>
      <c r="D3" s="716"/>
      <c r="E3" s="716"/>
      <c r="F3" s="742" t="s">
        <v>955</v>
      </c>
      <c r="G3" s="716"/>
      <c r="H3" s="716"/>
    </row>
    <row r="4" spans="1:8" ht="18.75" hidden="1" x14ac:dyDescent="0.3">
      <c r="A4" s="912" t="s">
        <v>883</v>
      </c>
      <c r="B4" s="912"/>
      <c r="C4" s="912"/>
      <c r="D4" s="912"/>
      <c r="E4" s="912"/>
      <c r="F4" s="912"/>
      <c r="G4" s="912"/>
      <c r="H4" s="912"/>
    </row>
    <row r="5" spans="1:8" ht="36" hidden="1" customHeight="1" x14ac:dyDescent="0.25">
      <c r="A5" s="913" t="s">
        <v>990</v>
      </c>
      <c r="B5" s="913"/>
      <c r="C5" s="913"/>
      <c r="D5" s="913"/>
      <c r="E5" s="913"/>
      <c r="F5" s="913"/>
      <c r="G5" s="913"/>
      <c r="H5" s="913"/>
    </row>
    <row r="6" spans="1:8" ht="15.75" hidden="1" x14ac:dyDescent="0.25">
      <c r="A6" s="517"/>
      <c r="B6" s="731"/>
      <c r="C6" s="732"/>
      <c r="D6" s="733"/>
      <c r="E6" s="733"/>
      <c r="F6" s="733"/>
      <c r="G6" s="733"/>
      <c r="H6" s="733" t="s">
        <v>884</v>
      </c>
    </row>
    <row r="7" spans="1:8" s="719" customFormat="1" ht="91.9" hidden="1" customHeight="1" x14ac:dyDescent="0.25">
      <c r="A7" s="734" t="s">
        <v>885</v>
      </c>
      <c r="B7" s="735" t="s">
        <v>886</v>
      </c>
      <c r="C7" s="735" t="s">
        <v>887</v>
      </c>
      <c r="D7" s="735" t="s">
        <v>888</v>
      </c>
      <c r="E7" s="735" t="s">
        <v>889</v>
      </c>
      <c r="F7" s="735" t="s">
        <v>890</v>
      </c>
      <c r="G7" s="736" t="s">
        <v>891</v>
      </c>
      <c r="H7" s="735" t="s">
        <v>892</v>
      </c>
    </row>
    <row r="8" spans="1:8" ht="15.75" hidden="1" x14ac:dyDescent="0.2">
      <c r="A8" s="737" t="s">
        <v>191</v>
      </c>
      <c r="B8" s="738" t="s">
        <v>192</v>
      </c>
      <c r="C8" s="743">
        <v>120358716</v>
      </c>
      <c r="D8" s="743">
        <v>120358716</v>
      </c>
      <c r="E8" s="743">
        <v>73744400</v>
      </c>
      <c r="F8" s="739">
        <v>77511068.610000014</v>
      </c>
      <c r="G8" s="740">
        <f t="shared" ref="G8:G68" si="0">F8-E8</f>
        <v>3766668.6100000143</v>
      </c>
      <c r="H8" s="740">
        <f t="shared" ref="H8:H68" si="1">IF(E8=0,0,F8/E8*100)</f>
        <v>105.10773510937781</v>
      </c>
    </row>
    <row r="9" spans="1:8" ht="31.5" hidden="1" x14ac:dyDescent="0.2">
      <c r="A9" s="737" t="s">
        <v>193</v>
      </c>
      <c r="B9" s="738" t="s">
        <v>194</v>
      </c>
      <c r="C9" s="743">
        <v>72812100</v>
      </c>
      <c r="D9" s="743">
        <v>72812100</v>
      </c>
      <c r="E9" s="743">
        <v>43586700</v>
      </c>
      <c r="F9" s="739">
        <v>39283551.200000003</v>
      </c>
      <c r="G9" s="740">
        <f t="shared" si="0"/>
        <v>-4303148.799999997</v>
      </c>
      <c r="H9" s="740">
        <f t="shared" si="1"/>
        <v>90.127381058901008</v>
      </c>
    </row>
    <row r="10" spans="1:8" ht="15.75" hidden="1" x14ac:dyDescent="0.2">
      <c r="A10" s="737" t="s">
        <v>195</v>
      </c>
      <c r="B10" s="738" t="s">
        <v>196</v>
      </c>
      <c r="C10" s="743">
        <v>72800000</v>
      </c>
      <c r="D10" s="743">
        <v>72800000</v>
      </c>
      <c r="E10" s="743">
        <v>43574600</v>
      </c>
      <c r="F10" s="739">
        <v>39283551.200000003</v>
      </c>
      <c r="G10" s="740">
        <f t="shared" si="0"/>
        <v>-4291048.799999997</v>
      </c>
      <c r="H10" s="740">
        <f t="shared" si="1"/>
        <v>90.152408054233433</v>
      </c>
    </row>
    <row r="11" spans="1:8" ht="47.25" hidden="1" x14ac:dyDescent="0.2">
      <c r="A11" s="737" t="s">
        <v>197</v>
      </c>
      <c r="B11" s="738" t="s">
        <v>198</v>
      </c>
      <c r="C11" s="743">
        <v>60000000</v>
      </c>
      <c r="D11" s="743">
        <v>60000000</v>
      </c>
      <c r="E11" s="743">
        <v>37662600</v>
      </c>
      <c r="F11" s="739">
        <v>32885488.789999999</v>
      </c>
      <c r="G11" s="740">
        <f t="shared" si="0"/>
        <v>-4777111.2100000009</v>
      </c>
      <c r="H11" s="740">
        <f t="shared" si="1"/>
        <v>87.316034447966956</v>
      </c>
    </row>
    <row r="12" spans="1:8" ht="78.75" hidden="1" x14ac:dyDescent="0.2">
      <c r="A12" s="737" t="s">
        <v>199</v>
      </c>
      <c r="B12" s="738" t="s">
        <v>200</v>
      </c>
      <c r="C12" s="743">
        <v>3000000</v>
      </c>
      <c r="D12" s="743">
        <v>3000000</v>
      </c>
      <c r="E12" s="743">
        <v>1899700</v>
      </c>
      <c r="F12" s="739">
        <v>1849150.84</v>
      </c>
      <c r="G12" s="740">
        <f t="shared" si="0"/>
        <v>-50549.159999999916</v>
      </c>
      <c r="H12" s="740">
        <f t="shared" si="1"/>
        <v>97.339097752276686</v>
      </c>
    </row>
    <row r="13" spans="1:8" ht="47.25" hidden="1" x14ac:dyDescent="0.2">
      <c r="A13" s="737" t="s">
        <v>201</v>
      </c>
      <c r="B13" s="738" t="s">
        <v>202</v>
      </c>
      <c r="C13" s="743">
        <v>8700000</v>
      </c>
      <c r="D13" s="743">
        <v>8700000</v>
      </c>
      <c r="E13" s="743">
        <v>3151100</v>
      </c>
      <c r="F13" s="739">
        <v>3959408.81</v>
      </c>
      <c r="G13" s="740">
        <f t="shared" si="0"/>
        <v>808308.81</v>
      </c>
      <c r="H13" s="740">
        <f t="shared" si="1"/>
        <v>125.65163942750151</v>
      </c>
    </row>
    <row r="14" spans="1:8" ht="47.25" hidden="1" x14ac:dyDescent="0.2">
      <c r="A14" s="737" t="s">
        <v>203</v>
      </c>
      <c r="B14" s="738" t="s">
        <v>204</v>
      </c>
      <c r="C14" s="743">
        <v>1100000</v>
      </c>
      <c r="D14" s="743">
        <v>1100000</v>
      </c>
      <c r="E14" s="743">
        <v>861200</v>
      </c>
      <c r="F14" s="739">
        <v>584232.25</v>
      </c>
      <c r="G14" s="740">
        <f t="shared" si="0"/>
        <v>-276967.75</v>
      </c>
      <c r="H14" s="740">
        <f t="shared" si="1"/>
        <v>67.839323037621924</v>
      </c>
    </row>
    <row r="15" spans="1:8" ht="47.25" hidden="1" x14ac:dyDescent="0.2">
      <c r="A15" s="737" t="s">
        <v>893</v>
      </c>
      <c r="B15" s="738" t="s">
        <v>894</v>
      </c>
      <c r="C15" s="743">
        <v>0</v>
      </c>
      <c r="D15" s="743">
        <v>0</v>
      </c>
      <c r="E15" s="743">
        <v>0</v>
      </c>
      <c r="F15" s="739">
        <v>5270.51</v>
      </c>
      <c r="G15" s="740">
        <f t="shared" si="0"/>
        <v>5270.51</v>
      </c>
      <c r="H15" s="740">
        <f t="shared" si="1"/>
        <v>0</v>
      </c>
    </row>
    <row r="16" spans="1:8" ht="15.75" hidden="1" x14ac:dyDescent="0.2">
      <c r="A16" s="737" t="s">
        <v>895</v>
      </c>
      <c r="B16" s="738" t="s">
        <v>207</v>
      </c>
      <c r="C16" s="743">
        <v>12100</v>
      </c>
      <c r="D16" s="743">
        <v>12100</v>
      </c>
      <c r="E16" s="743">
        <v>12100</v>
      </c>
      <c r="F16" s="739">
        <v>0</v>
      </c>
      <c r="G16" s="740">
        <f t="shared" si="0"/>
        <v>-12100</v>
      </c>
      <c r="H16" s="740">
        <f t="shared" si="1"/>
        <v>0</v>
      </c>
    </row>
    <row r="17" spans="1:8" ht="31.5" hidden="1" x14ac:dyDescent="0.2">
      <c r="A17" s="737" t="s">
        <v>896</v>
      </c>
      <c r="B17" s="738" t="s">
        <v>208</v>
      </c>
      <c r="C17" s="743">
        <v>12100</v>
      </c>
      <c r="D17" s="743">
        <v>12100</v>
      </c>
      <c r="E17" s="743">
        <v>12100</v>
      </c>
      <c r="F17" s="739">
        <v>0</v>
      </c>
      <c r="G17" s="740">
        <f t="shared" si="0"/>
        <v>-12100</v>
      </c>
      <c r="H17" s="740">
        <f t="shared" si="1"/>
        <v>0</v>
      </c>
    </row>
    <row r="18" spans="1:8" ht="31.5" hidden="1" x14ac:dyDescent="0.2">
      <c r="A18" s="737" t="s">
        <v>897</v>
      </c>
      <c r="B18" s="738" t="s">
        <v>209</v>
      </c>
      <c r="C18" s="743">
        <v>120100</v>
      </c>
      <c r="D18" s="743">
        <v>120100</v>
      </c>
      <c r="E18" s="743">
        <v>81000</v>
      </c>
      <c r="F18" s="739">
        <v>112850.67</v>
      </c>
      <c r="G18" s="740">
        <f t="shared" si="0"/>
        <v>31850.67</v>
      </c>
      <c r="H18" s="740">
        <f t="shared" si="1"/>
        <v>139.32181481481481</v>
      </c>
    </row>
    <row r="19" spans="1:8" ht="31.5" hidden="1" x14ac:dyDescent="0.2">
      <c r="A19" s="737" t="s">
        <v>898</v>
      </c>
      <c r="B19" s="738" t="s">
        <v>210</v>
      </c>
      <c r="C19" s="743">
        <v>0</v>
      </c>
      <c r="D19" s="743">
        <v>0</v>
      </c>
      <c r="E19" s="743">
        <v>0</v>
      </c>
      <c r="F19" s="739">
        <v>7737.09</v>
      </c>
      <c r="G19" s="740">
        <f t="shared" si="0"/>
        <v>7737.09</v>
      </c>
      <c r="H19" s="740">
        <f t="shared" si="1"/>
        <v>0</v>
      </c>
    </row>
    <row r="20" spans="1:8" ht="47.25" hidden="1" x14ac:dyDescent="0.2">
      <c r="A20" s="737" t="s">
        <v>899</v>
      </c>
      <c r="B20" s="738" t="s">
        <v>900</v>
      </c>
      <c r="C20" s="743">
        <v>0</v>
      </c>
      <c r="D20" s="743">
        <v>0</v>
      </c>
      <c r="E20" s="743">
        <v>0</v>
      </c>
      <c r="F20" s="739">
        <v>3492.52</v>
      </c>
      <c r="G20" s="740">
        <f t="shared" si="0"/>
        <v>3492.52</v>
      </c>
      <c r="H20" s="740">
        <f t="shared" si="1"/>
        <v>0</v>
      </c>
    </row>
    <row r="21" spans="1:8" ht="78.75" hidden="1" x14ac:dyDescent="0.2">
      <c r="A21" s="737" t="s">
        <v>901</v>
      </c>
      <c r="B21" s="738" t="s">
        <v>211</v>
      </c>
      <c r="C21" s="743">
        <v>0</v>
      </c>
      <c r="D21" s="743">
        <v>0</v>
      </c>
      <c r="E21" s="743">
        <v>0</v>
      </c>
      <c r="F21" s="739">
        <v>4244.57</v>
      </c>
      <c r="G21" s="740">
        <f t="shared" si="0"/>
        <v>4244.57</v>
      </c>
      <c r="H21" s="740">
        <f t="shared" si="1"/>
        <v>0</v>
      </c>
    </row>
    <row r="22" spans="1:8" ht="31.5" hidden="1" x14ac:dyDescent="0.2">
      <c r="A22" s="737" t="s">
        <v>902</v>
      </c>
      <c r="B22" s="738" t="s">
        <v>903</v>
      </c>
      <c r="C22" s="743">
        <v>120100</v>
      </c>
      <c r="D22" s="743">
        <v>120100</v>
      </c>
      <c r="E22" s="743">
        <v>81000</v>
      </c>
      <c r="F22" s="739">
        <v>105113.58</v>
      </c>
      <c r="G22" s="740">
        <f t="shared" si="0"/>
        <v>24113.58</v>
      </c>
      <c r="H22" s="740">
        <f t="shared" si="1"/>
        <v>129.76985185185185</v>
      </c>
    </row>
    <row r="23" spans="1:8" ht="47.25" hidden="1" x14ac:dyDescent="0.2">
      <c r="A23" s="737" t="s">
        <v>904</v>
      </c>
      <c r="B23" s="738" t="s">
        <v>905</v>
      </c>
      <c r="C23" s="743">
        <v>120100</v>
      </c>
      <c r="D23" s="743">
        <v>120100</v>
      </c>
      <c r="E23" s="743">
        <v>81000</v>
      </c>
      <c r="F23" s="739">
        <v>105113.58</v>
      </c>
      <c r="G23" s="740">
        <f t="shared" si="0"/>
        <v>24113.58</v>
      </c>
      <c r="H23" s="740">
        <f t="shared" si="1"/>
        <v>129.76985185185185</v>
      </c>
    </row>
    <row r="24" spans="1:8" ht="15.75" hidden="1" x14ac:dyDescent="0.2">
      <c r="A24" s="737" t="s">
        <v>214</v>
      </c>
      <c r="B24" s="738" t="s">
        <v>215</v>
      </c>
      <c r="C24" s="743">
        <v>6990000</v>
      </c>
      <c r="D24" s="743">
        <v>6990000</v>
      </c>
      <c r="E24" s="743">
        <v>4325000</v>
      </c>
      <c r="F24" s="739">
        <v>3810242.16</v>
      </c>
      <c r="G24" s="740">
        <f t="shared" si="0"/>
        <v>-514757.83999999985</v>
      </c>
      <c r="H24" s="740">
        <f t="shared" si="1"/>
        <v>88.098084624277462</v>
      </c>
    </row>
    <row r="25" spans="1:8" ht="31.5" hidden="1" x14ac:dyDescent="0.2">
      <c r="A25" s="737" t="s">
        <v>216</v>
      </c>
      <c r="B25" s="738" t="s">
        <v>906</v>
      </c>
      <c r="C25" s="743">
        <v>990000</v>
      </c>
      <c r="D25" s="743">
        <v>990000</v>
      </c>
      <c r="E25" s="743">
        <v>594000</v>
      </c>
      <c r="F25" s="739">
        <v>451247.93</v>
      </c>
      <c r="G25" s="740">
        <f t="shared" si="0"/>
        <v>-142752.07</v>
      </c>
      <c r="H25" s="740">
        <f t="shared" si="1"/>
        <v>75.96766498316498</v>
      </c>
    </row>
    <row r="26" spans="1:8" ht="15.75" hidden="1" x14ac:dyDescent="0.2">
      <c r="A26" s="737" t="s">
        <v>218</v>
      </c>
      <c r="B26" s="738" t="s">
        <v>219</v>
      </c>
      <c r="C26" s="743">
        <v>990000</v>
      </c>
      <c r="D26" s="743">
        <v>990000</v>
      </c>
      <c r="E26" s="743">
        <v>594000</v>
      </c>
      <c r="F26" s="739">
        <v>451247.93</v>
      </c>
      <c r="G26" s="740">
        <f t="shared" si="0"/>
        <v>-142752.07</v>
      </c>
      <c r="H26" s="740">
        <f t="shared" si="1"/>
        <v>75.96766498316498</v>
      </c>
    </row>
    <row r="27" spans="1:8" ht="47.25" hidden="1" x14ac:dyDescent="0.2">
      <c r="A27" s="737" t="s">
        <v>220</v>
      </c>
      <c r="B27" s="738" t="s">
        <v>221</v>
      </c>
      <c r="C27" s="743">
        <v>3500000</v>
      </c>
      <c r="D27" s="743">
        <v>3500000</v>
      </c>
      <c r="E27" s="743">
        <v>2105000</v>
      </c>
      <c r="F27" s="739">
        <v>1532523.32</v>
      </c>
      <c r="G27" s="740">
        <f t="shared" si="0"/>
        <v>-572476.67999999993</v>
      </c>
      <c r="H27" s="740">
        <f t="shared" si="1"/>
        <v>72.803958194774353</v>
      </c>
    </row>
    <row r="28" spans="1:8" ht="15.75" hidden="1" x14ac:dyDescent="0.2">
      <c r="A28" s="737" t="s">
        <v>222</v>
      </c>
      <c r="B28" s="738" t="s">
        <v>219</v>
      </c>
      <c r="C28" s="743">
        <v>3500000</v>
      </c>
      <c r="D28" s="743">
        <v>3500000</v>
      </c>
      <c r="E28" s="743">
        <v>2105000</v>
      </c>
      <c r="F28" s="739">
        <v>1532523.32</v>
      </c>
      <c r="G28" s="740">
        <f t="shared" si="0"/>
        <v>-572476.67999999993</v>
      </c>
      <c r="H28" s="740">
        <f t="shared" si="1"/>
        <v>72.803958194774353</v>
      </c>
    </row>
    <row r="29" spans="1:8" ht="47.25" hidden="1" x14ac:dyDescent="0.2">
      <c r="A29" s="737" t="s">
        <v>223</v>
      </c>
      <c r="B29" s="738" t="s">
        <v>907</v>
      </c>
      <c r="C29" s="743">
        <v>2500000</v>
      </c>
      <c r="D29" s="743">
        <v>2500000</v>
      </c>
      <c r="E29" s="743">
        <v>1626000</v>
      </c>
      <c r="F29" s="739">
        <v>1826470.91</v>
      </c>
      <c r="G29" s="740">
        <f t="shared" si="0"/>
        <v>200470.90999999992</v>
      </c>
      <c r="H29" s="740">
        <f t="shared" si="1"/>
        <v>112.32908425584256</v>
      </c>
    </row>
    <row r="30" spans="1:8" ht="47.25" hidden="1" x14ac:dyDescent="0.2">
      <c r="A30" s="737" t="s">
        <v>223</v>
      </c>
      <c r="B30" s="738" t="s">
        <v>907</v>
      </c>
      <c r="C30" s="743">
        <v>2500000</v>
      </c>
      <c r="D30" s="743">
        <v>2500000</v>
      </c>
      <c r="E30" s="743">
        <v>1626000</v>
      </c>
      <c r="F30" s="739">
        <v>1826470.91</v>
      </c>
      <c r="G30" s="740">
        <f t="shared" si="0"/>
        <v>200470.90999999992</v>
      </c>
      <c r="H30" s="740">
        <f t="shared" si="1"/>
        <v>112.32908425584256</v>
      </c>
    </row>
    <row r="31" spans="1:8" ht="47.25" hidden="1" x14ac:dyDescent="0.2">
      <c r="A31" s="737" t="s">
        <v>225</v>
      </c>
      <c r="B31" s="738" t="s">
        <v>908</v>
      </c>
      <c r="C31" s="743">
        <v>40436516</v>
      </c>
      <c r="D31" s="743">
        <v>40436516</v>
      </c>
      <c r="E31" s="743">
        <v>25751700</v>
      </c>
      <c r="F31" s="739">
        <v>34304424.579999998</v>
      </c>
      <c r="G31" s="740">
        <f t="shared" si="0"/>
        <v>8552724.5799999982</v>
      </c>
      <c r="H31" s="740">
        <f t="shared" si="1"/>
        <v>133.21227173351662</v>
      </c>
    </row>
    <row r="32" spans="1:8" ht="15.75" hidden="1" x14ac:dyDescent="0.2">
      <c r="A32" s="737" t="s">
        <v>227</v>
      </c>
      <c r="B32" s="738" t="s">
        <v>909</v>
      </c>
      <c r="C32" s="743">
        <v>21055516</v>
      </c>
      <c r="D32" s="743">
        <v>21055516</v>
      </c>
      <c r="E32" s="743">
        <v>14765800</v>
      </c>
      <c r="F32" s="739">
        <v>23767144.84</v>
      </c>
      <c r="G32" s="740">
        <f t="shared" si="0"/>
        <v>9001344.8399999999</v>
      </c>
      <c r="H32" s="740">
        <f t="shared" si="1"/>
        <v>160.96076636552033</v>
      </c>
    </row>
    <row r="33" spans="1:8" ht="63" hidden="1" x14ac:dyDescent="0.2">
      <c r="A33" s="737" t="s">
        <v>229</v>
      </c>
      <c r="B33" s="738" t="s">
        <v>910</v>
      </c>
      <c r="C33" s="743">
        <v>18400</v>
      </c>
      <c r="D33" s="743">
        <v>18400</v>
      </c>
      <c r="E33" s="743">
        <v>13600</v>
      </c>
      <c r="F33" s="739">
        <v>27310.38</v>
      </c>
      <c r="G33" s="740">
        <f t="shared" si="0"/>
        <v>13710.380000000001</v>
      </c>
      <c r="H33" s="740">
        <f t="shared" si="1"/>
        <v>200.81161764705882</v>
      </c>
    </row>
    <row r="34" spans="1:8" ht="63" hidden="1" x14ac:dyDescent="0.2">
      <c r="A34" s="737" t="s">
        <v>231</v>
      </c>
      <c r="B34" s="738" t="s">
        <v>911</v>
      </c>
      <c r="C34" s="743">
        <v>33200</v>
      </c>
      <c r="D34" s="743">
        <v>33200</v>
      </c>
      <c r="E34" s="743">
        <v>14700</v>
      </c>
      <c r="F34" s="739">
        <v>2233.6</v>
      </c>
      <c r="G34" s="740">
        <f t="shared" si="0"/>
        <v>-12466.4</v>
      </c>
      <c r="H34" s="740">
        <f t="shared" si="1"/>
        <v>15.194557823129252</v>
      </c>
    </row>
    <row r="35" spans="1:8" ht="63" hidden="1" x14ac:dyDescent="0.2">
      <c r="A35" s="737" t="s">
        <v>233</v>
      </c>
      <c r="B35" s="738" t="s">
        <v>912</v>
      </c>
      <c r="C35" s="743">
        <v>29200</v>
      </c>
      <c r="D35" s="743">
        <v>29200</v>
      </c>
      <c r="E35" s="743">
        <v>18800</v>
      </c>
      <c r="F35" s="739">
        <v>2242.64</v>
      </c>
      <c r="G35" s="740">
        <f t="shared" si="0"/>
        <v>-16557.36</v>
      </c>
      <c r="H35" s="740">
        <f t="shared" si="1"/>
        <v>11.928936170212765</v>
      </c>
    </row>
    <row r="36" spans="1:8" ht="63" hidden="1" x14ac:dyDescent="0.2">
      <c r="A36" s="737" t="s">
        <v>235</v>
      </c>
      <c r="B36" s="738" t="s">
        <v>913</v>
      </c>
      <c r="C36" s="743">
        <v>1173000</v>
      </c>
      <c r="D36" s="743">
        <v>1173000</v>
      </c>
      <c r="E36" s="743">
        <v>795000</v>
      </c>
      <c r="F36" s="739">
        <v>1118473.95</v>
      </c>
      <c r="G36" s="740">
        <f t="shared" si="0"/>
        <v>323473.94999999995</v>
      </c>
      <c r="H36" s="740">
        <f t="shared" si="1"/>
        <v>140.68854716981133</v>
      </c>
    </row>
    <row r="37" spans="1:8" ht="15.75" hidden="1" x14ac:dyDescent="0.2">
      <c r="A37" s="737" t="s">
        <v>237</v>
      </c>
      <c r="B37" s="738" t="s">
        <v>914</v>
      </c>
      <c r="C37" s="743">
        <v>3000900</v>
      </c>
      <c r="D37" s="743">
        <v>3000900</v>
      </c>
      <c r="E37" s="743">
        <v>1921100</v>
      </c>
      <c r="F37" s="739">
        <v>2977328.75</v>
      </c>
      <c r="G37" s="740">
        <f t="shared" si="0"/>
        <v>1056228.75</v>
      </c>
      <c r="H37" s="740">
        <f t="shared" si="1"/>
        <v>154.98041486648276</v>
      </c>
    </row>
    <row r="38" spans="1:8" ht="15.75" hidden="1" x14ac:dyDescent="0.2">
      <c r="A38" s="737" t="s">
        <v>239</v>
      </c>
      <c r="B38" s="738" t="s">
        <v>915</v>
      </c>
      <c r="C38" s="743">
        <v>13090416</v>
      </c>
      <c r="D38" s="743">
        <v>13090416</v>
      </c>
      <c r="E38" s="743">
        <v>9008900</v>
      </c>
      <c r="F38" s="739">
        <v>16033061.060000001</v>
      </c>
      <c r="G38" s="740">
        <f t="shared" si="0"/>
        <v>7024161.0600000005</v>
      </c>
      <c r="H38" s="740">
        <f t="shared" si="1"/>
        <v>177.96913119248742</v>
      </c>
    </row>
    <row r="39" spans="1:8" ht="15.75" hidden="1" x14ac:dyDescent="0.2">
      <c r="A39" s="737" t="s">
        <v>241</v>
      </c>
      <c r="B39" s="738" t="s">
        <v>916</v>
      </c>
      <c r="C39" s="743">
        <v>1255000</v>
      </c>
      <c r="D39" s="743">
        <v>1255000</v>
      </c>
      <c r="E39" s="743">
        <v>997300</v>
      </c>
      <c r="F39" s="739">
        <v>1181457.3600000001</v>
      </c>
      <c r="G39" s="740">
        <f t="shared" si="0"/>
        <v>184157.3600000001</v>
      </c>
      <c r="H39" s="740">
        <f t="shared" si="1"/>
        <v>118.46559310137373</v>
      </c>
    </row>
    <row r="40" spans="1:8" ht="15.75" hidden="1" x14ac:dyDescent="0.2">
      <c r="A40" s="737" t="s">
        <v>243</v>
      </c>
      <c r="B40" s="738" t="s">
        <v>917</v>
      </c>
      <c r="C40" s="743">
        <v>2357200</v>
      </c>
      <c r="D40" s="743">
        <v>2357200</v>
      </c>
      <c r="E40" s="743">
        <v>1925200</v>
      </c>
      <c r="F40" s="739">
        <v>2366068.77</v>
      </c>
      <c r="G40" s="740">
        <f t="shared" si="0"/>
        <v>440868.77</v>
      </c>
      <c r="H40" s="740">
        <f t="shared" si="1"/>
        <v>122.89989455640973</v>
      </c>
    </row>
    <row r="41" spans="1:8" ht="15.75" hidden="1" x14ac:dyDescent="0.2">
      <c r="A41" s="737" t="s">
        <v>245</v>
      </c>
      <c r="B41" s="738" t="s">
        <v>918</v>
      </c>
      <c r="C41" s="743">
        <v>17900</v>
      </c>
      <c r="D41" s="743">
        <v>17900</v>
      </c>
      <c r="E41" s="743">
        <v>17900</v>
      </c>
      <c r="F41" s="739">
        <v>0</v>
      </c>
      <c r="G41" s="740">
        <f t="shared" si="0"/>
        <v>-17900</v>
      </c>
      <c r="H41" s="740">
        <f t="shared" si="1"/>
        <v>0</v>
      </c>
    </row>
    <row r="42" spans="1:8" ht="15.75" hidden="1" x14ac:dyDescent="0.2">
      <c r="A42" s="737" t="s">
        <v>247</v>
      </c>
      <c r="B42" s="738" t="s">
        <v>919</v>
      </c>
      <c r="C42" s="743">
        <v>80300</v>
      </c>
      <c r="D42" s="743">
        <v>80300</v>
      </c>
      <c r="E42" s="743">
        <v>53300</v>
      </c>
      <c r="F42" s="739">
        <v>58968.33</v>
      </c>
      <c r="G42" s="740">
        <f t="shared" si="0"/>
        <v>5668.3300000000017</v>
      </c>
      <c r="H42" s="740">
        <f t="shared" si="1"/>
        <v>110.63476547842401</v>
      </c>
    </row>
    <row r="43" spans="1:8" ht="15.75" hidden="1" x14ac:dyDescent="0.2">
      <c r="A43" s="737" t="s">
        <v>249</v>
      </c>
      <c r="B43" s="738" t="s">
        <v>250</v>
      </c>
      <c r="C43" s="743">
        <v>19381000</v>
      </c>
      <c r="D43" s="743">
        <v>19381000</v>
      </c>
      <c r="E43" s="743">
        <v>10985900</v>
      </c>
      <c r="F43" s="739">
        <v>10537279.739999998</v>
      </c>
      <c r="G43" s="740">
        <f t="shared" si="0"/>
        <v>-448620.26000000164</v>
      </c>
      <c r="H43" s="740">
        <f t="shared" si="1"/>
        <v>95.916399566717331</v>
      </c>
    </row>
    <row r="44" spans="1:8" ht="15.75" hidden="1" x14ac:dyDescent="0.2">
      <c r="A44" s="737" t="s">
        <v>251</v>
      </c>
      <c r="B44" s="738" t="s">
        <v>252</v>
      </c>
      <c r="C44" s="743">
        <v>500000</v>
      </c>
      <c r="D44" s="743">
        <v>500000</v>
      </c>
      <c r="E44" s="743">
        <v>409400</v>
      </c>
      <c r="F44" s="739">
        <v>207195.93</v>
      </c>
      <c r="G44" s="740">
        <f t="shared" si="0"/>
        <v>-202204.07</v>
      </c>
      <c r="H44" s="740">
        <f t="shared" si="1"/>
        <v>50.609655593551537</v>
      </c>
    </row>
    <row r="45" spans="1:8" ht="15.75" hidden="1" x14ac:dyDescent="0.2">
      <c r="A45" s="737" t="s">
        <v>253</v>
      </c>
      <c r="B45" s="738" t="s">
        <v>254</v>
      </c>
      <c r="C45" s="743">
        <v>9100000</v>
      </c>
      <c r="D45" s="743">
        <v>9100000</v>
      </c>
      <c r="E45" s="743">
        <v>6020300</v>
      </c>
      <c r="F45" s="739">
        <v>5087331.09</v>
      </c>
      <c r="G45" s="740">
        <f t="shared" si="0"/>
        <v>-932968.91000000015</v>
      </c>
      <c r="H45" s="740">
        <f t="shared" si="1"/>
        <v>84.502949852997361</v>
      </c>
    </row>
    <row r="46" spans="1:8" ht="78.75" hidden="1" x14ac:dyDescent="0.2">
      <c r="A46" s="737" t="s">
        <v>255</v>
      </c>
      <c r="B46" s="738" t="s">
        <v>920</v>
      </c>
      <c r="C46" s="743">
        <v>9781000</v>
      </c>
      <c r="D46" s="743">
        <v>9781000</v>
      </c>
      <c r="E46" s="743">
        <v>4556200</v>
      </c>
      <c r="F46" s="739">
        <v>5242752.72</v>
      </c>
      <c r="G46" s="740">
        <f t="shared" si="0"/>
        <v>686552.71999999974</v>
      </c>
      <c r="H46" s="740">
        <f t="shared" si="1"/>
        <v>115.06853781660156</v>
      </c>
    </row>
    <row r="47" spans="1:8" ht="15.75" hidden="1" x14ac:dyDescent="0.2">
      <c r="A47" s="737" t="s">
        <v>267</v>
      </c>
      <c r="B47" s="738" t="s">
        <v>268</v>
      </c>
      <c r="C47" s="743">
        <v>1075900</v>
      </c>
      <c r="D47" s="743">
        <v>1075900</v>
      </c>
      <c r="E47" s="743">
        <v>680500</v>
      </c>
      <c r="F47" s="739">
        <v>933582.71000000008</v>
      </c>
      <c r="G47" s="740">
        <f t="shared" si="0"/>
        <v>253082.71000000008</v>
      </c>
      <c r="H47" s="740">
        <f t="shared" si="1"/>
        <v>137.1906994856723</v>
      </c>
    </row>
    <row r="48" spans="1:8" ht="31.5" hidden="1" x14ac:dyDescent="0.2">
      <c r="A48" s="737" t="s">
        <v>269</v>
      </c>
      <c r="B48" s="738" t="s">
        <v>270</v>
      </c>
      <c r="C48" s="743">
        <v>185700</v>
      </c>
      <c r="D48" s="743">
        <v>185700</v>
      </c>
      <c r="E48" s="743">
        <v>128700</v>
      </c>
      <c r="F48" s="739">
        <v>166167.51</v>
      </c>
      <c r="G48" s="740">
        <f t="shared" si="0"/>
        <v>37467.510000000009</v>
      </c>
      <c r="H48" s="740">
        <f t="shared" si="1"/>
        <v>129.1122843822844</v>
      </c>
    </row>
    <row r="49" spans="1:8" ht="15.75" hidden="1" x14ac:dyDescent="0.2">
      <c r="A49" s="737" t="s">
        <v>271</v>
      </c>
      <c r="B49" s="738" t="s">
        <v>272</v>
      </c>
      <c r="C49" s="743">
        <v>185700</v>
      </c>
      <c r="D49" s="743">
        <v>185700</v>
      </c>
      <c r="E49" s="743">
        <v>128700</v>
      </c>
      <c r="F49" s="739">
        <v>166167.51</v>
      </c>
      <c r="G49" s="740">
        <f t="shared" si="0"/>
        <v>37467.510000000009</v>
      </c>
      <c r="H49" s="740">
        <f t="shared" si="1"/>
        <v>129.1122843822844</v>
      </c>
    </row>
    <row r="50" spans="1:8" ht="15.75" hidden="1" x14ac:dyDescent="0.2">
      <c r="A50" s="737" t="s">
        <v>273</v>
      </c>
      <c r="B50" s="738" t="s">
        <v>274</v>
      </c>
      <c r="C50" s="743">
        <v>62200</v>
      </c>
      <c r="D50" s="743">
        <v>62200</v>
      </c>
      <c r="E50" s="743">
        <v>26900</v>
      </c>
      <c r="F50" s="739">
        <v>148787.51</v>
      </c>
      <c r="G50" s="740">
        <f t="shared" si="0"/>
        <v>121887.51000000001</v>
      </c>
      <c r="H50" s="740">
        <f t="shared" si="1"/>
        <v>553.11342007434951</v>
      </c>
    </row>
    <row r="51" spans="1:8" ht="47.25" hidden="1" x14ac:dyDescent="0.2">
      <c r="A51" s="737" t="s">
        <v>275</v>
      </c>
      <c r="B51" s="738" t="s">
        <v>921</v>
      </c>
      <c r="C51" s="743">
        <v>123500</v>
      </c>
      <c r="D51" s="743">
        <v>123500</v>
      </c>
      <c r="E51" s="743">
        <v>101800</v>
      </c>
      <c r="F51" s="739">
        <v>17380</v>
      </c>
      <c r="G51" s="740">
        <f t="shared" si="0"/>
        <v>-84420</v>
      </c>
      <c r="H51" s="740">
        <f t="shared" si="1"/>
        <v>17.072691552062867</v>
      </c>
    </row>
    <row r="52" spans="1:8" ht="31.5" hidden="1" x14ac:dyDescent="0.2">
      <c r="A52" s="737" t="s">
        <v>277</v>
      </c>
      <c r="B52" s="738" t="s">
        <v>278</v>
      </c>
      <c r="C52" s="743">
        <v>890200</v>
      </c>
      <c r="D52" s="743">
        <v>890200</v>
      </c>
      <c r="E52" s="743">
        <v>551800</v>
      </c>
      <c r="F52" s="739">
        <v>682178.83000000007</v>
      </c>
      <c r="G52" s="740">
        <f t="shared" si="0"/>
        <v>130378.83000000007</v>
      </c>
      <c r="H52" s="740">
        <f t="shared" si="1"/>
        <v>123.62791409931135</v>
      </c>
    </row>
    <row r="53" spans="1:8" ht="15.75" hidden="1" x14ac:dyDescent="0.2">
      <c r="A53" s="737" t="s">
        <v>279</v>
      </c>
      <c r="B53" s="738" t="s">
        <v>280</v>
      </c>
      <c r="C53" s="743">
        <v>708000</v>
      </c>
      <c r="D53" s="743">
        <v>708000</v>
      </c>
      <c r="E53" s="743">
        <v>457700</v>
      </c>
      <c r="F53" s="739">
        <v>596354.91</v>
      </c>
      <c r="G53" s="740">
        <f t="shared" si="0"/>
        <v>138654.91000000003</v>
      </c>
      <c r="H53" s="740">
        <f t="shared" si="1"/>
        <v>130.29384094384969</v>
      </c>
    </row>
    <row r="54" spans="1:8" ht="47.25" hidden="1" x14ac:dyDescent="0.2">
      <c r="A54" s="737" t="s">
        <v>281</v>
      </c>
      <c r="B54" s="738" t="s">
        <v>922</v>
      </c>
      <c r="C54" s="743">
        <v>44600</v>
      </c>
      <c r="D54" s="743">
        <v>44600</v>
      </c>
      <c r="E54" s="743">
        <v>24300</v>
      </c>
      <c r="F54" s="739">
        <v>57692</v>
      </c>
      <c r="G54" s="740">
        <f t="shared" si="0"/>
        <v>33392</v>
      </c>
      <c r="H54" s="740">
        <f t="shared" si="1"/>
        <v>237.41563786008228</v>
      </c>
    </row>
    <row r="55" spans="1:8" ht="15.75" hidden="1" x14ac:dyDescent="0.2">
      <c r="A55" s="737" t="s">
        <v>283</v>
      </c>
      <c r="B55" s="738" t="s">
        <v>284</v>
      </c>
      <c r="C55" s="743">
        <v>447800</v>
      </c>
      <c r="D55" s="743">
        <v>447800</v>
      </c>
      <c r="E55" s="743">
        <v>304100</v>
      </c>
      <c r="F55" s="739">
        <v>323412.91000000003</v>
      </c>
      <c r="G55" s="740">
        <f t="shared" si="0"/>
        <v>19312.910000000033</v>
      </c>
      <c r="H55" s="740">
        <f t="shared" si="1"/>
        <v>106.35084182834595</v>
      </c>
    </row>
    <row r="56" spans="1:8" ht="31.5" hidden="1" x14ac:dyDescent="0.2">
      <c r="A56" s="737" t="s">
        <v>285</v>
      </c>
      <c r="B56" s="738" t="s">
        <v>923</v>
      </c>
      <c r="C56" s="743">
        <v>215600</v>
      </c>
      <c r="D56" s="743">
        <v>215600</v>
      </c>
      <c r="E56" s="743">
        <v>129300</v>
      </c>
      <c r="F56" s="739">
        <v>215250</v>
      </c>
      <c r="G56" s="740">
        <f t="shared" si="0"/>
        <v>85950</v>
      </c>
      <c r="H56" s="740">
        <f t="shared" si="1"/>
        <v>166.47331786542924</v>
      </c>
    </row>
    <row r="57" spans="1:8" ht="15.75" hidden="1" x14ac:dyDescent="0.2">
      <c r="A57" s="737" t="s">
        <v>287</v>
      </c>
      <c r="B57" s="738" t="s">
        <v>288</v>
      </c>
      <c r="C57" s="743">
        <v>182200</v>
      </c>
      <c r="D57" s="743">
        <v>182200</v>
      </c>
      <c r="E57" s="743">
        <v>94100</v>
      </c>
      <c r="F57" s="739">
        <v>85823.92</v>
      </c>
      <c r="G57" s="740">
        <f t="shared" si="0"/>
        <v>-8276.0800000000017</v>
      </c>
      <c r="H57" s="740">
        <f t="shared" si="1"/>
        <v>91.205015940488849</v>
      </c>
    </row>
    <row r="58" spans="1:8" ht="63" hidden="1" x14ac:dyDescent="0.2">
      <c r="A58" s="737" t="s">
        <v>289</v>
      </c>
      <c r="B58" s="738" t="s">
        <v>290</v>
      </c>
      <c r="C58" s="743">
        <v>182200</v>
      </c>
      <c r="D58" s="743">
        <v>182200</v>
      </c>
      <c r="E58" s="743">
        <v>94100</v>
      </c>
      <c r="F58" s="739">
        <v>84038.92</v>
      </c>
      <c r="G58" s="740">
        <f t="shared" si="0"/>
        <v>-10061.080000000002</v>
      </c>
      <c r="H58" s="740">
        <f t="shared" si="1"/>
        <v>89.308097768331564</v>
      </c>
    </row>
    <row r="59" spans="1:8" ht="47.25" hidden="1" x14ac:dyDescent="0.2">
      <c r="A59" s="737" t="s">
        <v>924</v>
      </c>
      <c r="B59" s="738" t="s">
        <v>925</v>
      </c>
      <c r="C59" s="743">
        <v>0</v>
      </c>
      <c r="D59" s="743">
        <v>0</v>
      </c>
      <c r="E59" s="743">
        <v>0</v>
      </c>
      <c r="F59" s="739">
        <v>1785</v>
      </c>
      <c r="G59" s="740">
        <f t="shared" si="0"/>
        <v>1785</v>
      </c>
      <c r="H59" s="740">
        <f t="shared" si="1"/>
        <v>0</v>
      </c>
    </row>
    <row r="60" spans="1:8" ht="15.75" hidden="1" x14ac:dyDescent="0.2">
      <c r="A60" s="737" t="s">
        <v>926</v>
      </c>
      <c r="B60" s="738" t="s">
        <v>927</v>
      </c>
      <c r="C60" s="743">
        <v>0</v>
      </c>
      <c r="D60" s="743">
        <v>0</v>
      </c>
      <c r="E60" s="743">
        <v>0</v>
      </c>
      <c r="F60" s="739">
        <v>85236.37</v>
      </c>
      <c r="G60" s="740">
        <f t="shared" si="0"/>
        <v>85236.37</v>
      </c>
      <c r="H60" s="740">
        <f t="shared" si="1"/>
        <v>0</v>
      </c>
    </row>
    <row r="61" spans="1:8" ht="15.75" hidden="1" x14ac:dyDescent="0.2">
      <c r="A61" s="737" t="s">
        <v>928</v>
      </c>
      <c r="B61" s="738" t="s">
        <v>272</v>
      </c>
      <c r="C61" s="743">
        <v>0</v>
      </c>
      <c r="D61" s="743">
        <v>0</v>
      </c>
      <c r="E61" s="743">
        <v>0</v>
      </c>
      <c r="F61" s="739">
        <v>85236.37</v>
      </c>
      <c r="G61" s="740">
        <f t="shared" si="0"/>
        <v>85236.37</v>
      </c>
      <c r="H61" s="740">
        <f t="shared" si="1"/>
        <v>0</v>
      </c>
    </row>
    <row r="62" spans="1:8" ht="15.75" hidden="1" x14ac:dyDescent="0.2">
      <c r="A62" s="737" t="s">
        <v>929</v>
      </c>
      <c r="B62" s="738" t="s">
        <v>272</v>
      </c>
      <c r="C62" s="743">
        <v>0</v>
      </c>
      <c r="D62" s="743">
        <v>0</v>
      </c>
      <c r="E62" s="743">
        <v>0</v>
      </c>
      <c r="F62" s="739">
        <v>32540.91</v>
      </c>
      <c r="G62" s="740">
        <f t="shared" si="0"/>
        <v>32540.91</v>
      </c>
      <c r="H62" s="740">
        <f t="shared" si="1"/>
        <v>0</v>
      </c>
    </row>
    <row r="63" spans="1:8" ht="94.5" hidden="1" x14ac:dyDescent="0.2">
      <c r="A63" s="737" t="s">
        <v>930</v>
      </c>
      <c r="B63" s="738" t="s">
        <v>931</v>
      </c>
      <c r="C63" s="743">
        <v>0</v>
      </c>
      <c r="D63" s="743">
        <v>0</v>
      </c>
      <c r="E63" s="743">
        <v>0</v>
      </c>
      <c r="F63" s="739">
        <v>52695.46</v>
      </c>
      <c r="G63" s="740">
        <f t="shared" si="0"/>
        <v>52695.46</v>
      </c>
      <c r="H63" s="740">
        <f t="shared" si="1"/>
        <v>0</v>
      </c>
    </row>
    <row r="64" spans="1:8" ht="15.75" hidden="1" x14ac:dyDescent="0.2">
      <c r="A64" s="737" t="s">
        <v>307</v>
      </c>
      <c r="B64" s="738" t="s">
        <v>308</v>
      </c>
      <c r="C64" s="743">
        <v>0</v>
      </c>
      <c r="D64" s="743">
        <v>0</v>
      </c>
      <c r="E64" s="743">
        <v>0</v>
      </c>
      <c r="F64" s="739">
        <v>750</v>
      </c>
      <c r="G64" s="740">
        <f t="shared" si="0"/>
        <v>750</v>
      </c>
      <c r="H64" s="740">
        <f t="shared" si="1"/>
        <v>0</v>
      </c>
    </row>
    <row r="65" spans="1:8" ht="15.75" hidden="1" x14ac:dyDescent="0.2">
      <c r="A65" s="737" t="s">
        <v>309</v>
      </c>
      <c r="B65" s="738" t="s">
        <v>310</v>
      </c>
      <c r="C65" s="743">
        <v>0</v>
      </c>
      <c r="D65" s="743">
        <v>0</v>
      </c>
      <c r="E65" s="743">
        <v>0</v>
      </c>
      <c r="F65" s="739">
        <v>750</v>
      </c>
      <c r="G65" s="740">
        <f t="shared" si="0"/>
        <v>750</v>
      </c>
      <c r="H65" s="740">
        <f t="shared" si="1"/>
        <v>0</v>
      </c>
    </row>
    <row r="66" spans="1:8" ht="78.75" hidden="1" x14ac:dyDescent="0.2">
      <c r="A66" s="737" t="s">
        <v>311</v>
      </c>
      <c r="B66" s="738" t="s">
        <v>312</v>
      </c>
      <c r="C66" s="743">
        <v>0</v>
      </c>
      <c r="D66" s="743">
        <v>0</v>
      </c>
      <c r="E66" s="743">
        <v>0</v>
      </c>
      <c r="F66" s="739">
        <v>750</v>
      </c>
      <c r="G66" s="740">
        <f t="shared" si="0"/>
        <v>750</v>
      </c>
      <c r="H66" s="740">
        <f t="shared" si="1"/>
        <v>0</v>
      </c>
    </row>
    <row r="67" spans="1:8" ht="78.75" hidden="1" x14ac:dyDescent="0.2">
      <c r="A67" s="737" t="s">
        <v>313</v>
      </c>
      <c r="B67" s="738" t="s">
        <v>314</v>
      </c>
      <c r="C67" s="743">
        <v>0</v>
      </c>
      <c r="D67" s="743">
        <v>0</v>
      </c>
      <c r="E67" s="743">
        <v>0</v>
      </c>
      <c r="F67" s="739">
        <v>750</v>
      </c>
      <c r="G67" s="740">
        <f t="shared" si="0"/>
        <v>750</v>
      </c>
      <c r="H67" s="740">
        <f t="shared" si="1"/>
        <v>0</v>
      </c>
    </row>
    <row r="68" spans="1:8" ht="15.75" hidden="1" x14ac:dyDescent="0.2">
      <c r="A68" s="737" t="s">
        <v>344</v>
      </c>
      <c r="B68" s="738" t="s">
        <v>932</v>
      </c>
      <c r="C68" s="743">
        <v>121434616</v>
      </c>
      <c r="D68" s="743">
        <v>121434616</v>
      </c>
      <c r="E68" s="743">
        <v>74424900</v>
      </c>
      <c r="F68" s="739">
        <v>78445401.320000008</v>
      </c>
      <c r="G68" s="740">
        <f t="shared" si="0"/>
        <v>4020501.3200000077</v>
      </c>
      <c r="H68" s="740">
        <f t="shared" si="1"/>
        <v>105.40209166555819</v>
      </c>
    </row>
    <row r="69" spans="1:8" s="517" customFormat="1" ht="29.45" hidden="1" customHeight="1" x14ac:dyDescent="0.25">
      <c r="A69" s="914" t="s">
        <v>991</v>
      </c>
      <c r="B69" s="914"/>
      <c r="C69" s="914"/>
      <c r="F69" s="915" t="s">
        <v>933</v>
      </c>
      <c r="G69" s="915"/>
      <c r="H69" s="915"/>
    </row>
    <row r="70" spans="1:8" hidden="1" x14ac:dyDescent="0.2"/>
    <row r="71" spans="1:8" hidden="1" x14ac:dyDescent="0.2"/>
    <row r="72" spans="1:8" hidden="1" x14ac:dyDescent="0.2"/>
  </sheetData>
  <mergeCells count="4">
    <mergeCell ref="A4:H4"/>
    <mergeCell ref="A5:H5"/>
    <mergeCell ref="A69:C69"/>
    <mergeCell ref="F69:H69"/>
  </mergeCells>
  <conditionalFormatting sqref="A8:A68">
    <cfRule type="expression" dxfId="7" priority="1" stopIfTrue="1">
      <formula>#REF!=1</formula>
    </cfRule>
  </conditionalFormatting>
  <conditionalFormatting sqref="B8:B68">
    <cfRule type="expression" dxfId="6" priority="2" stopIfTrue="1">
      <formula>#REF!=1</formula>
    </cfRule>
  </conditionalFormatting>
  <conditionalFormatting sqref="C8:C68">
    <cfRule type="expression" dxfId="5" priority="3" stopIfTrue="1">
      <formula>#REF!=1</formula>
    </cfRule>
  </conditionalFormatting>
  <conditionalFormatting sqref="D8:D68">
    <cfRule type="expression" dxfId="4" priority="4" stopIfTrue="1">
      <formula>#REF!=1</formula>
    </cfRule>
  </conditionalFormatting>
  <conditionalFormatting sqref="E8:E68">
    <cfRule type="expression" dxfId="3" priority="5" stopIfTrue="1">
      <formula>#REF!=1</formula>
    </cfRule>
  </conditionalFormatting>
  <conditionalFormatting sqref="F8:F68">
    <cfRule type="expression" dxfId="2" priority="6" stopIfTrue="1">
      <formula>#REF!=1</formula>
    </cfRule>
  </conditionalFormatting>
  <conditionalFormatting sqref="G8:G68">
    <cfRule type="expression" dxfId="1" priority="7" stopIfTrue="1">
      <formula>#REF!=1</formula>
    </cfRule>
  </conditionalFormatting>
  <conditionalFormatting sqref="H8:H68">
    <cfRule type="expression" dxfId="0" priority="8" stopIfTrue="1">
      <formula>#REF!=1</formula>
    </cfRule>
  </conditionalFormatting>
  <pageMargins left="1.1811023622047245" right="0.39370078740157483" top="0.39370078740157483" bottom="0.39370078740157483" header="0" footer="0"/>
  <pageSetup paperSize="9" scale="64" fitToHeight="70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Дод 1</vt:lpstr>
      <vt:lpstr>дод 2 </vt:lpstr>
      <vt:lpstr>дод 3 </vt:lpstr>
      <vt:lpstr>дод 4</vt:lpstr>
      <vt:lpstr>Дод 5 </vt:lpstr>
      <vt:lpstr>дод 6 </vt:lpstr>
      <vt:lpstr>дод7</vt:lpstr>
      <vt:lpstr>дод 8</vt:lpstr>
      <vt:lpstr>дод 9</vt:lpstr>
      <vt:lpstr>'дод 2 '!Заголовки_для_печати</vt:lpstr>
      <vt:lpstr>'дод 3 '!Заголовки_для_печати</vt:lpstr>
      <vt:lpstr>'Дод 5 '!Заголовки_для_печати</vt:lpstr>
      <vt:lpstr>'дод 6 '!Заголовки_для_печати</vt:lpstr>
      <vt:lpstr>'дод 8'!Заголовки_для_печати</vt:lpstr>
      <vt:lpstr>дод7!Заголовки_для_печати</vt:lpstr>
      <vt:lpstr>'дод 8'!Область_печати</vt:lpstr>
      <vt:lpstr>'дод 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2021-10-21T06:21:41Z</cp:lastPrinted>
  <dcterms:created xsi:type="dcterms:W3CDTF">2020-12-30T10:03:27Z</dcterms:created>
  <dcterms:modified xsi:type="dcterms:W3CDTF">2021-10-21T06:22:46Z</dcterms:modified>
</cp:coreProperties>
</file>