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9480" tabRatio="899" activeTab="1"/>
  </bookViews>
  <sheets>
    <sheet name=" дод.1" sheetId="5" r:id="rId1"/>
    <sheet name="дод 2" sheetId="12" r:id="rId2"/>
    <sheet name="дод 3 " sheetId="6" r:id="rId3"/>
    <sheet name="дод 4" sheetId="7" r:id="rId4"/>
    <sheet name="дод 5" sheetId="14" r:id="rId5"/>
    <sheet name="коефіціенти" sheetId="8" r:id="rId6"/>
    <sheet name="коефіціенти (2)" sheetId="11" r:id="rId7"/>
  </sheets>
  <externalReferences>
    <externalReference r:id="rId8"/>
  </externalReferences>
  <definedNames>
    <definedName name="_Б21000" localSheetId="3">#REF!</definedName>
    <definedName name="_Б21000" localSheetId="4">#REF!</definedName>
    <definedName name="_Б21000" localSheetId="6">#REF!</definedName>
    <definedName name="_Б21000">#REF!</definedName>
    <definedName name="_Б22000" localSheetId="3">#REF!</definedName>
    <definedName name="_Б22000" localSheetId="4">#REF!</definedName>
    <definedName name="_Б22000" localSheetId="6">#REF!</definedName>
    <definedName name="_Б22000">#REF!</definedName>
    <definedName name="_Б22100" localSheetId="3">#REF!</definedName>
    <definedName name="_Б22100" localSheetId="4">#REF!</definedName>
    <definedName name="_Б22100" localSheetId="6">#REF!</definedName>
    <definedName name="_Б22100">#REF!</definedName>
    <definedName name="_Б22110" localSheetId="3">#REF!</definedName>
    <definedName name="_Б22110" localSheetId="4">#REF!</definedName>
    <definedName name="_Б22110" localSheetId="6">#REF!</definedName>
    <definedName name="_Б22110">#REF!</definedName>
    <definedName name="_Б22111" localSheetId="3">#REF!</definedName>
    <definedName name="_Б22111" localSheetId="4">#REF!</definedName>
    <definedName name="_Б22111" localSheetId="6">#REF!</definedName>
    <definedName name="_Б22111">#REF!</definedName>
    <definedName name="_Б22112" localSheetId="3">#REF!</definedName>
    <definedName name="_Б22112" localSheetId="4">#REF!</definedName>
    <definedName name="_Б22112" localSheetId="6">#REF!</definedName>
    <definedName name="_Б22112">#REF!</definedName>
    <definedName name="_Б22200" localSheetId="3">#REF!</definedName>
    <definedName name="_Б22200" localSheetId="4">#REF!</definedName>
    <definedName name="_Б22200" localSheetId="6">#REF!</definedName>
    <definedName name="_Б22200">#REF!</definedName>
    <definedName name="_Б23000" localSheetId="3">#REF!</definedName>
    <definedName name="_Б23000" localSheetId="4">#REF!</definedName>
    <definedName name="_Б23000" localSheetId="6">#REF!</definedName>
    <definedName name="_Б23000">#REF!</definedName>
    <definedName name="_Б24000" localSheetId="3">#REF!</definedName>
    <definedName name="_Б24000" localSheetId="4">#REF!</definedName>
    <definedName name="_Б24000" localSheetId="6">#REF!</definedName>
    <definedName name="_Б24000">#REF!</definedName>
    <definedName name="_Б25000" localSheetId="3">#REF!</definedName>
    <definedName name="_Б25000" localSheetId="4">#REF!</definedName>
    <definedName name="_Б25000" localSheetId="6">#REF!</definedName>
    <definedName name="_Б25000">#REF!</definedName>
    <definedName name="_Б41000" localSheetId="3">#REF!</definedName>
    <definedName name="_Б41000" localSheetId="4">#REF!</definedName>
    <definedName name="_Б41000" localSheetId="6">#REF!</definedName>
    <definedName name="_Б41000">#REF!</definedName>
    <definedName name="_Б42000" localSheetId="3">#REF!</definedName>
    <definedName name="_Б42000" localSheetId="4">#REF!</definedName>
    <definedName name="_Б42000" localSheetId="6">#REF!</definedName>
    <definedName name="_Б42000">#REF!</definedName>
    <definedName name="_Б43000" localSheetId="3">#REF!</definedName>
    <definedName name="_Б43000" localSheetId="4">#REF!</definedName>
    <definedName name="_Б43000" localSheetId="6">#REF!</definedName>
    <definedName name="_Б43000">#REF!</definedName>
    <definedName name="_Б44000" localSheetId="3">#REF!</definedName>
    <definedName name="_Б44000" localSheetId="4">#REF!</definedName>
    <definedName name="_Б44000" localSheetId="6">#REF!</definedName>
    <definedName name="_Б44000">#REF!</definedName>
    <definedName name="_Б45000" localSheetId="3">#REF!</definedName>
    <definedName name="_Б45000" localSheetId="4">#REF!</definedName>
    <definedName name="_Б45000" localSheetId="6">#REF!</definedName>
    <definedName name="_Б45000">#REF!</definedName>
    <definedName name="_Б46000" localSheetId="3">#REF!</definedName>
    <definedName name="_Б46000" localSheetId="4">#REF!</definedName>
    <definedName name="_Б46000" localSheetId="6">#REF!</definedName>
    <definedName name="_Б46000">#REF!</definedName>
    <definedName name="_В010100" localSheetId="3">#REF!</definedName>
    <definedName name="_В010100" localSheetId="4">#REF!</definedName>
    <definedName name="_В010100" localSheetId="6">#REF!</definedName>
    <definedName name="_В010100">#REF!</definedName>
    <definedName name="_В010200" localSheetId="3">#REF!</definedName>
    <definedName name="_В010200" localSheetId="4">#REF!</definedName>
    <definedName name="_В010200" localSheetId="6">#REF!</definedName>
    <definedName name="_В010200">#REF!</definedName>
    <definedName name="_В040000" localSheetId="3">#REF!</definedName>
    <definedName name="_В040000" localSheetId="4">#REF!</definedName>
    <definedName name="_В040000" localSheetId="6">#REF!</definedName>
    <definedName name="_В040000">#REF!</definedName>
    <definedName name="_В050000" localSheetId="3">#REF!</definedName>
    <definedName name="_В050000" localSheetId="4">#REF!</definedName>
    <definedName name="_В050000" localSheetId="6">#REF!</definedName>
    <definedName name="_В050000">#REF!</definedName>
    <definedName name="_В060000" localSheetId="3">#REF!</definedName>
    <definedName name="_В060000" localSheetId="4">#REF!</definedName>
    <definedName name="_В060000" localSheetId="6">#REF!</definedName>
    <definedName name="_В060000">#REF!</definedName>
    <definedName name="_В070000" localSheetId="3">#REF!</definedName>
    <definedName name="_В070000" localSheetId="4">#REF!</definedName>
    <definedName name="_В070000" localSheetId="6">#REF!</definedName>
    <definedName name="_В070000">#REF!</definedName>
    <definedName name="_В080000" localSheetId="3">#REF!</definedName>
    <definedName name="_В080000" localSheetId="4">#REF!</definedName>
    <definedName name="_В080000" localSheetId="6">#REF!</definedName>
    <definedName name="_В080000">#REF!</definedName>
    <definedName name="_В090000" localSheetId="3">#REF!</definedName>
    <definedName name="_В090000" localSheetId="4">#REF!</definedName>
    <definedName name="_В090000" localSheetId="6">#REF!</definedName>
    <definedName name="_В090000">#REF!</definedName>
    <definedName name="_В090200" localSheetId="3">#REF!</definedName>
    <definedName name="_В090200" localSheetId="4">#REF!</definedName>
    <definedName name="_В090200" localSheetId="6">#REF!</definedName>
    <definedName name="_В090200">#REF!</definedName>
    <definedName name="_В090201" localSheetId="3">#REF!</definedName>
    <definedName name="_В090201" localSheetId="4">#REF!</definedName>
    <definedName name="_В090201" localSheetId="6">#REF!</definedName>
    <definedName name="_В090201">#REF!</definedName>
    <definedName name="_В090202" localSheetId="3">#REF!</definedName>
    <definedName name="_В090202" localSheetId="4">#REF!</definedName>
    <definedName name="_В090202" localSheetId="6">#REF!</definedName>
    <definedName name="_В090202">#REF!</definedName>
    <definedName name="_В090203" localSheetId="3">#REF!</definedName>
    <definedName name="_В090203" localSheetId="4">#REF!</definedName>
    <definedName name="_В090203" localSheetId="6">#REF!</definedName>
    <definedName name="_В090203">#REF!</definedName>
    <definedName name="_В090300" localSheetId="3">#REF!</definedName>
    <definedName name="_В090300" localSheetId="4">#REF!</definedName>
    <definedName name="_В090300" localSheetId="6">#REF!</definedName>
    <definedName name="_В090300">#REF!</definedName>
    <definedName name="_В090301" localSheetId="3">#REF!</definedName>
    <definedName name="_В090301" localSheetId="4">#REF!</definedName>
    <definedName name="_В090301" localSheetId="6">#REF!</definedName>
    <definedName name="_В090301">#REF!</definedName>
    <definedName name="_В090302" localSheetId="3">#REF!</definedName>
    <definedName name="_В090302" localSheetId="4">#REF!</definedName>
    <definedName name="_В090302" localSheetId="6">#REF!</definedName>
    <definedName name="_В090302">#REF!</definedName>
    <definedName name="_В090303" localSheetId="3">#REF!</definedName>
    <definedName name="_В090303" localSheetId="4">#REF!</definedName>
    <definedName name="_В090303" localSheetId="6">#REF!</definedName>
    <definedName name="_В090303">#REF!</definedName>
    <definedName name="_В090304" localSheetId="3">#REF!</definedName>
    <definedName name="_В090304" localSheetId="4">#REF!</definedName>
    <definedName name="_В090304" localSheetId="6">#REF!</definedName>
    <definedName name="_В090304">#REF!</definedName>
    <definedName name="_В090305" localSheetId="3">#REF!</definedName>
    <definedName name="_В090305" localSheetId="4">#REF!</definedName>
    <definedName name="_В090305" localSheetId="6">#REF!</definedName>
    <definedName name="_В090305">#REF!</definedName>
    <definedName name="_В090306" localSheetId="3">#REF!</definedName>
    <definedName name="_В090306" localSheetId="4">#REF!</definedName>
    <definedName name="_В090306" localSheetId="6">#REF!</definedName>
    <definedName name="_В090306">#REF!</definedName>
    <definedName name="_В090307" localSheetId="3">#REF!</definedName>
    <definedName name="_В090307" localSheetId="4">#REF!</definedName>
    <definedName name="_В090307" localSheetId="6">#REF!</definedName>
    <definedName name="_В090307">#REF!</definedName>
    <definedName name="_В090400" localSheetId="3">#REF!</definedName>
    <definedName name="_В090400" localSheetId="4">#REF!</definedName>
    <definedName name="_В090400" localSheetId="6">#REF!</definedName>
    <definedName name="_В090400">#REF!</definedName>
    <definedName name="_В090405" localSheetId="3">#REF!</definedName>
    <definedName name="_В090405" localSheetId="4">#REF!</definedName>
    <definedName name="_В090405" localSheetId="6">#REF!</definedName>
    <definedName name="_В090405">#REF!</definedName>
    <definedName name="_В090412" localSheetId="3">#REF!</definedName>
    <definedName name="_В090412" localSheetId="4">#REF!</definedName>
    <definedName name="_В090412" localSheetId="6">#REF!</definedName>
    <definedName name="_В090412">#REF!</definedName>
    <definedName name="_В090601" localSheetId="3">#REF!</definedName>
    <definedName name="_В090601" localSheetId="4">#REF!</definedName>
    <definedName name="_В090601" localSheetId="6">#REF!</definedName>
    <definedName name="_В090601">#REF!</definedName>
    <definedName name="_В090700" localSheetId="3">#REF!</definedName>
    <definedName name="_В090700" localSheetId="4">#REF!</definedName>
    <definedName name="_В090700" localSheetId="6">#REF!</definedName>
    <definedName name="_В090700">#REF!</definedName>
    <definedName name="_В090900" localSheetId="3">#REF!</definedName>
    <definedName name="_В090900" localSheetId="4">#REF!</definedName>
    <definedName name="_В090900" localSheetId="6">#REF!</definedName>
    <definedName name="_В090900">#REF!</definedName>
    <definedName name="_В091100" localSheetId="3">#REF!</definedName>
    <definedName name="_В091100" localSheetId="4">#REF!</definedName>
    <definedName name="_В091100" localSheetId="6">#REF!</definedName>
    <definedName name="_В091100">#REF!</definedName>
    <definedName name="_В091200" localSheetId="3">#REF!</definedName>
    <definedName name="_В091200" localSheetId="4">#REF!</definedName>
    <definedName name="_В091200" localSheetId="6">#REF!</definedName>
    <definedName name="_В091200">#REF!</definedName>
    <definedName name="_В100000" localSheetId="3">#REF!</definedName>
    <definedName name="_В100000" localSheetId="4">#REF!</definedName>
    <definedName name="_В100000" localSheetId="6">#REF!</definedName>
    <definedName name="_В100000">#REF!</definedName>
    <definedName name="_В100100" localSheetId="3">#REF!</definedName>
    <definedName name="_В100100" localSheetId="4">#REF!</definedName>
    <definedName name="_В100100" localSheetId="6">#REF!</definedName>
    <definedName name="_В100100">#REF!</definedName>
    <definedName name="_В100103" localSheetId="3">#REF!</definedName>
    <definedName name="_В100103" localSheetId="4">#REF!</definedName>
    <definedName name="_В100103" localSheetId="6">#REF!</definedName>
    <definedName name="_В100103">#REF!</definedName>
    <definedName name="_В100200" localSheetId="3">#REF!</definedName>
    <definedName name="_В100200" localSheetId="4">#REF!</definedName>
    <definedName name="_В100200" localSheetId="6">#REF!</definedName>
    <definedName name="_В100200">#REF!</definedName>
    <definedName name="_В100203" localSheetId="3">#REF!</definedName>
    <definedName name="_В100203" localSheetId="4">#REF!</definedName>
    <definedName name="_В100203" localSheetId="6">#REF!</definedName>
    <definedName name="_В100203">#REF!</definedName>
    <definedName name="_В100204" localSheetId="3">#REF!</definedName>
    <definedName name="_В100204" localSheetId="4">#REF!</definedName>
    <definedName name="_В100204" localSheetId="6">#REF!</definedName>
    <definedName name="_В100204">#REF!</definedName>
    <definedName name="_В110000" localSheetId="3">#REF!</definedName>
    <definedName name="_В110000" localSheetId="4">#REF!</definedName>
    <definedName name="_В110000" localSheetId="6">#REF!</definedName>
    <definedName name="_В110000">#REF!</definedName>
    <definedName name="_В120000" localSheetId="3">#REF!</definedName>
    <definedName name="_В120000" localSheetId="4">#REF!</definedName>
    <definedName name="_В120000" localSheetId="6">#REF!</definedName>
    <definedName name="_В120000">#REF!</definedName>
    <definedName name="_В130000" localSheetId="3">#REF!</definedName>
    <definedName name="_В130000" localSheetId="4">#REF!</definedName>
    <definedName name="_В130000" localSheetId="6">#REF!</definedName>
    <definedName name="_В130000">#REF!</definedName>
    <definedName name="_В140000" localSheetId="3">#REF!</definedName>
    <definedName name="_В140000" localSheetId="4">#REF!</definedName>
    <definedName name="_В140000" localSheetId="6">#REF!</definedName>
    <definedName name="_В140000">#REF!</definedName>
    <definedName name="_В140102" localSheetId="3">#REF!</definedName>
    <definedName name="_В140102" localSheetId="4">#REF!</definedName>
    <definedName name="_В140102" localSheetId="6">#REF!</definedName>
    <definedName name="_В140102">#REF!</definedName>
    <definedName name="_В150000" localSheetId="3">#REF!</definedName>
    <definedName name="_В150000" localSheetId="4">#REF!</definedName>
    <definedName name="_В150000" localSheetId="6">#REF!</definedName>
    <definedName name="_В150000">#REF!</definedName>
    <definedName name="_В150101" localSheetId="3">#REF!</definedName>
    <definedName name="_В150101" localSheetId="4">#REF!</definedName>
    <definedName name="_В150101" localSheetId="6">#REF!</definedName>
    <definedName name="_В150101">#REF!</definedName>
    <definedName name="_В160000" localSheetId="3">#REF!</definedName>
    <definedName name="_В160000" localSheetId="4">#REF!</definedName>
    <definedName name="_В160000" localSheetId="6">#REF!</definedName>
    <definedName name="_В160000">#REF!</definedName>
    <definedName name="_В160100" localSheetId="3">#REF!</definedName>
    <definedName name="_В160100" localSheetId="4">#REF!</definedName>
    <definedName name="_В160100" localSheetId="6">#REF!</definedName>
    <definedName name="_В160100">#REF!</definedName>
    <definedName name="_В160103" localSheetId="3">#REF!</definedName>
    <definedName name="_В160103" localSheetId="4">#REF!</definedName>
    <definedName name="_В160103" localSheetId="6">#REF!</definedName>
    <definedName name="_В160103">#REF!</definedName>
    <definedName name="_В160200" localSheetId="3">#REF!</definedName>
    <definedName name="_В160200" localSheetId="4">#REF!</definedName>
    <definedName name="_В160200" localSheetId="6">#REF!</definedName>
    <definedName name="_В160200">#REF!</definedName>
    <definedName name="_В160300" localSheetId="3">#REF!</definedName>
    <definedName name="_В160300" localSheetId="4">#REF!</definedName>
    <definedName name="_В160300" localSheetId="6">#REF!</definedName>
    <definedName name="_В160300">#REF!</definedName>
    <definedName name="_В160304" localSheetId="3">#REF!</definedName>
    <definedName name="_В160304" localSheetId="4">#REF!</definedName>
    <definedName name="_В160304" localSheetId="6">#REF!</definedName>
    <definedName name="_В160304">#REF!</definedName>
    <definedName name="_В170000" localSheetId="3">#REF!</definedName>
    <definedName name="_В170000" localSheetId="4">#REF!</definedName>
    <definedName name="_В170000" localSheetId="6">#REF!</definedName>
    <definedName name="_В170000">#REF!</definedName>
    <definedName name="_В170100" localSheetId="3">#REF!</definedName>
    <definedName name="_В170100" localSheetId="4">#REF!</definedName>
    <definedName name="_В170100" localSheetId="6">#REF!</definedName>
    <definedName name="_В170100">#REF!</definedName>
    <definedName name="_В170101" localSheetId="3">#REF!</definedName>
    <definedName name="_В170101" localSheetId="4">#REF!</definedName>
    <definedName name="_В170101" localSheetId="6">#REF!</definedName>
    <definedName name="_В170101">#REF!</definedName>
    <definedName name="_В170300" localSheetId="3">#REF!</definedName>
    <definedName name="_В170300" localSheetId="4">#REF!</definedName>
    <definedName name="_В170300" localSheetId="6">#REF!</definedName>
    <definedName name="_В170300">#REF!</definedName>
    <definedName name="_В170303" localSheetId="3">#REF!</definedName>
    <definedName name="_В170303" localSheetId="4">#REF!</definedName>
    <definedName name="_В170303" localSheetId="6">#REF!</definedName>
    <definedName name="_В170303">#REF!</definedName>
    <definedName name="_В170600" localSheetId="3">#REF!</definedName>
    <definedName name="_В170600" localSheetId="4">#REF!</definedName>
    <definedName name="_В170600" localSheetId="6">#REF!</definedName>
    <definedName name="_В170600">#REF!</definedName>
    <definedName name="_В170601" localSheetId="3">#REF!</definedName>
    <definedName name="_В170601" localSheetId="4">#REF!</definedName>
    <definedName name="_В170601" localSheetId="6">#REF!</definedName>
    <definedName name="_В170601">#REF!</definedName>
    <definedName name="_В170700" localSheetId="3">#REF!</definedName>
    <definedName name="_В170700" localSheetId="4">#REF!</definedName>
    <definedName name="_В170700" localSheetId="6">#REF!</definedName>
    <definedName name="_В170700">#REF!</definedName>
    <definedName name="_В170703" localSheetId="3">#REF!</definedName>
    <definedName name="_В170703" localSheetId="4">#REF!</definedName>
    <definedName name="_В170703" localSheetId="6">#REF!</definedName>
    <definedName name="_В170703">#REF!</definedName>
    <definedName name="_В200000" localSheetId="3">#REF!</definedName>
    <definedName name="_В200000" localSheetId="4">#REF!</definedName>
    <definedName name="_В200000" localSheetId="6">#REF!</definedName>
    <definedName name="_В200000">#REF!</definedName>
    <definedName name="_В210000" localSheetId="3">#REF!</definedName>
    <definedName name="_В210000" localSheetId="4">#REF!</definedName>
    <definedName name="_В210000" localSheetId="6">#REF!</definedName>
    <definedName name="_В210000">#REF!</definedName>
    <definedName name="_В210200" localSheetId="3">#REF!</definedName>
    <definedName name="_В210200" localSheetId="4">#REF!</definedName>
    <definedName name="_В210200" localSheetId="6">#REF!</definedName>
    <definedName name="_В210200">#REF!</definedName>
    <definedName name="_В240000" localSheetId="3">#REF!</definedName>
    <definedName name="_В240000" localSheetId="4">#REF!</definedName>
    <definedName name="_В240000" localSheetId="6">#REF!</definedName>
    <definedName name="_В240000">#REF!</definedName>
    <definedName name="_В240600" localSheetId="3">#REF!</definedName>
    <definedName name="_В240600" localSheetId="4">#REF!</definedName>
    <definedName name="_В240600" localSheetId="6">#REF!</definedName>
    <definedName name="_В240600">#REF!</definedName>
    <definedName name="_В250000" localSheetId="3">#REF!</definedName>
    <definedName name="_В250000" localSheetId="4">#REF!</definedName>
    <definedName name="_В250000" localSheetId="6">#REF!</definedName>
    <definedName name="_В250000">#REF!</definedName>
    <definedName name="_В250102" localSheetId="3">#REF!</definedName>
    <definedName name="_В250102" localSheetId="4">#REF!</definedName>
    <definedName name="_В250102" localSheetId="6">#REF!</definedName>
    <definedName name="_В250102">#REF!</definedName>
    <definedName name="_В250200" localSheetId="3">#REF!</definedName>
    <definedName name="_В250200" localSheetId="4">#REF!</definedName>
    <definedName name="_В250200" localSheetId="6">#REF!</definedName>
    <definedName name="_В250200">#REF!</definedName>
    <definedName name="_В250301" localSheetId="3">#REF!</definedName>
    <definedName name="_В250301" localSheetId="4">#REF!</definedName>
    <definedName name="_В250301" localSheetId="6">#REF!</definedName>
    <definedName name="_В250301">#REF!</definedName>
    <definedName name="_В250307" localSheetId="3">#REF!</definedName>
    <definedName name="_В250307" localSheetId="4">#REF!</definedName>
    <definedName name="_В250307" localSheetId="6">#REF!</definedName>
    <definedName name="_В250307">#REF!</definedName>
    <definedName name="_В250500" localSheetId="3">#REF!</definedName>
    <definedName name="_В250500" localSheetId="4">#REF!</definedName>
    <definedName name="_В250500" localSheetId="6">#REF!</definedName>
    <definedName name="_В250500">#REF!</definedName>
    <definedName name="_В250501" localSheetId="3">#REF!</definedName>
    <definedName name="_В250501" localSheetId="4">#REF!</definedName>
    <definedName name="_В250501" localSheetId="6">#REF!</definedName>
    <definedName name="_В250501">#REF!</definedName>
    <definedName name="_В250502" localSheetId="3">#REF!</definedName>
    <definedName name="_В250502" localSheetId="4">#REF!</definedName>
    <definedName name="_В250502" localSheetId="6">#REF!</definedName>
    <definedName name="_В250502">#REF!</definedName>
    <definedName name="_Д100000" localSheetId="3">#REF!</definedName>
    <definedName name="_Д100000" localSheetId="4">#REF!</definedName>
    <definedName name="_Д100000" localSheetId="6">#REF!</definedName>
    <definedName name="_Д100000">#REF!</definedName>
    <definedName name="_Д110000" localSheetId="3">#REF!</definedName>
    <definedName name="_Д110000" localSheetId="4">#REF!</definedName>
    <definedName name="_Д110000" localSheetId="6">#REF!</definedName>
    <definedName name="_Д110000">#REF!</definedName>
    <definedName name="_Д110100" localSheetId="3">#REF!</definedName>
    <definedName name="_Д110100" localSheetId="4">#REF!</definedName>
    <definedName name="_Д110100" localSheetId="6">#REF!</definedName>
    <definedName name="_Д110100">#REF!</definedName>
    <definedName name="_Д110200" localSheetId="3">#REF!</definedName>
    <definedName name="_Д110200" localSheetId="4">#REF!</definedName>
    <definedName name="_Д110200" localSheetId="6">#REF!</definedName>
    <definedName name="_Д110200">#REF!</definedName>
    <definedName name="_Д120000" localSheetId="3">#REF!</definedName>
    <definedName name="_Д120000" localSheetId="4">#REF!</definedName>
    <definedName name="_Д120000" localSheetId="6">#REF!</definedName>
    <definedName name="_Д120000">#REF!</definedName>
    <definedName name="_Д120200" localSheetId="3">#REF!</definedName>
    <definedName name="_Д120200" localSheetId="4">#REF!</definedName>
    <definedName name="_Д120200" localSheetId="6">#REF!</definedName>
    <definedName name="_Д120200">#REF!</definedName>
    <definedName name="_Д130000" localSheetId="3">#REF!</definedName>
    <definedName name="_Д130000" localSheetId="4">#REF!</definedName>
    <definedName name="_Д130000" localSheetId="6">#REF!</definedName>
    <definedName name="_Д130000">#REF!</definedName>
    <definedName name="_Д130100" localSheetId="3">#REF!</definedName>
    <definedName name="_Д130100" localSheetId="4">#REF!</definedName>
    <definedName name="_Д130100" localSheetId="6">#REF!</definedName>
    <definedName name="_Д130100">#REF!</definedName>
    <definedName name="_Д130200" localSheetId="3">#REF!</definedName>
    <definedName name="_Д130200" localSheetId="4">#REF!</definedName>
    <definedName name="_Д130200" localSheetId="6">#REF!</definedName>
    <definedName name="_Д130200">#REF!</definedName>
    <definedName name="_Д130300" localSheetId="3">#REF!</definedName>
    <definedName name="_Д130300" localSheetId="4">#REF!</definedName>
    <definedName name="_Д130300" localSheetId="6">#REF!</definedName>
    <definedName name="_Д130300">#REF!</definedName>
    <definedName name="_Д130500" localSheetId="3">#REF!</definedName>
    <definedName name="_Д130500" localSheetId="4">#REF!</definedName>
    <definedName name="_Д130500" localSheetId="6">#REF!</definedName>
    <definedName name="_Д130500">#REF!</definedName>
    <definedName name="_Д140000" localSheetId="3">#REF!</definedName>
    <definedName name="_Д140000" localSheetId="4">#REF!</definedName>
    <definedName name="_Д140000" localSheetId="6">#REF!</definedName>
    <definedName name="_Д140000">#REF!</definedName>
    <definedName name="_Д140601" localSheetId="3">#REF!</definedName>
    <definedName name="_Д140601" localSheetId="4">#REF!</definedName>
    <definedName name="_Д140601" localSheetId="6">#REF!</definedName>
    <definedName name="_Д140601">#REF!</definedName>
    <definedName name="_Д140602" localSheetId="3">#REF!</definedName>
    <definedName name="_Д140602" localSheetId="4">#REF!</definedName>
    <definedName name="_Д140602" localSheetId="6">#REF!</definedName>
    <definedName name="_Д140602">#REF!</definedName>
    <definedName name="_Д140603" localSheetId="3">#REF!</definedName>
    <definedName name="_Д140603" localSheetId="4">#REF!</definedName>
    <definedName name="_Д140603" localSheetId="6">#REF!</definedName>
    <definedName name="_Д140603">#REF!</definedName>
    <definedName name="_Д140700" localSheetId="3">#REF!</definedName>
    <definedName name="_Д140700" localSheetId="4">#REF!</definedName>
    <definedName name="_Д140700" localSheetId="6">#REF!</definedName>
    <definedName name="_Д140700">#REF!</definedName>
    <definedName name="_Д160000" localSheetId="3">#REF!</definedName>
    <definedName name="_Д160000" localSheetId="4">#REF!</definedName>
    <definedName name="_Д160000" localSheetId="6">#REF!</definedName>
    <definedName name="_Д160000">#REF!</definedName>
    <definedName name="_Д160100" localSheetId="3">#REF!</definedName>
    <definedName name="_Д160100" localSheetId="4">#REF!</definedName>
    <definedName name="_Д160100" localSheetId="6">#REF!</definedName>
    <definedName name="_Д160100">#REF!</definedName>
    <definedName name="_Д160200" localSheetId="3">#REF!</definedName>
    <definedName name="_Д160200" localSheetId="4">#REF!</definedName>
    <definedName name="_Д160200" localSheetId="6">#REF!</definedName>
    <definedName name="_Д160200">#REF!</definedName>
    <definedName name="_Д160300" localSheetId="3">#REF!</definedName>
    <definedName name="_Д160300" localSheetId="4">#REF!</definedName>
    <definedName name="_Д160300" localSheetId="6">#REF!</definedName>
    <definedName name="_Д160300">#REF!</definedName>
    <definedName name="_Д200000" localSheetId="3">#REF!</definedName>
    <definedName name="_Д200000" localSheetId="4">#REF!</definedName>
    <definedName name="_Д200000" localSheetId="6">#REF!</definedName>
    <definedName name="_Д200000">#REF!</definedName>
    <definedName name="_Д210000" localSheetId="3">#REF!</definedName>
    <definedName name="_Д210000" localSheetId="4">#REF!</definedName>
    <definedName name="_Д210000" localSheetId="6">#REF!</definedName>
    <definedName name="_Д210000">#REF!</definedName>
    <definedName name="_Д210700" localSheetId="3">#REF!</definedName>
    <definedName name="_Д210700" localSheetId="4">#REF!</definedName>
    <definedName name="_Д210700" localSheetId="6">#REF!</definedName>
    <definedName name="_Д210700">#REF!</definedName>
    <definedName name="_Д220000" localSheetId="3">#REF!</definedName>
    <definedName name="_Д220000" localSheetId="4">#REF!</definedName>
    <definedName name="_Д220000" localSheetId="6">#REF!</definedName>
    <definedName name="_Д220000">#REF!</definedName>
    <definedName name="_Д220800" localSheetId="3">#REF!</definedName>
    <definedName name="_Д220800" localSheetId="4">#REF!</definedName>
    <definedName name="_Д220800" localSheetId="6">#REF!</definedName>
    <definedName name="_Д220800">#REF!</definedName>
    <definedName name="_Д220900" localSheetId="3">#REF!</definedName>
    <definedName name="_Д220900" localSheetId="4">#REF!</definedName>
    <definedName name="_Д220900" localSheetId="6">#REF!</definedName>
    <definedName name="_Д220900">#REF!</definedName>
    <definedName name="_Д230000" localSheetId="3">#REF!</definedName>
    <definedName name="_Д230000" localSheetId="4">#REF!</definedName>
    <definedName name="_Д230000" localSheetId="6">#REF!</definedName>
    <definedName name="_Д230000">#REF!</definedName>
    <definedName name="_Д240000" localSheetId="3">#REF!</definedName>
    <definedName name="_Д240000" localSheetId="4">#REF!</definedName>
    <definedName name="_Д240000" localSheetId="6">#REF!</definedName>
    <definedName name="_Д240000">#REF!</definedName>
    <definedName name="_Д240800" localSheetId="3">#REF!</definedName>
    <definedName name="_Д240800" localSheetId="4">#REF!</definedName>
    <definedName name="_Д240800" localSheetId="6">#REF!</definedName>
    <definedName name="_Д240800">#REF!</definedName>
    <definedName name="_Д400000" localSheetId="3">#REF!</definedName>
    <definedName name="_Д400000" localSheetId="4">#REF!</definedName>
    <definedName name="_Д400000" localSheetId="6">#REF!</definedName>
    <definedName name="_Д400000">#REF!</definedName>
    <definedName name="_Д410100" localSheetId="3">#REF!</definedName>
    <definedName name="_Д410100" localSheetId="4">#REF!</definedName>
    <definedName name="_Д410100" localSheetId="6">#REF!</definedName>
    <definedName name="_Д410100">#REF!</definedName>
    <definedName name="_Д410400" localSheetId="3">#REF!</definedName>
    <definedName name="_Д410400" localSheetId="4">#REF!</definedName>
    <definedName name="_Д410400" localSheetId="6">#REF!</definedName>
    <definedName name="_Д410400">#REF!</definedName>
    <definedName name="_Д500000" localSheetId="3">#REF!</definedName>
    <definedName name="_Д500000" localSheetId="4">#REF!</definedName>
    <definedName name="_Д500000" localSheetId="6">#REF!</definedName>
    <definedName name="_Д500000">#REF!</definedName>
    <definedName name="_Д500800" localSheetId="3">#REF!</definedName>
    <definedName name="_Д500800" localSheetId="4">#REF!</definedName>
    <definedName name="_Д500800" localSheetId="6">#REF!</definedName>
    <definedName name="_Д500800">#REF!</definedName>
    <definedName name="_Д500900" localSheetId="3">#REF!</definedName>
    <definedName name="_Д500900" localSheetId="4">#REF!</definedName>
    <definedName name="_Д500900" localSheetId="6">#REF!</definedName>
    <definedName name="_Д500900">#REF!</definedName>
    <definedName name="_Е1000" localSheetId="3">#REF!</definedName>
    <definedName name="_Е1000" localSheetId="4">#REF!</definedName>
    <definedName name="_Е1000" localSheetId="6">#REF!</definedName>
    <definedName name="_Е1000">#REF!</definedName>
    <definedName name="_Е1100" localSheetId="3">#REF!</definedName>
    <definedName name="_Е1100" localSheetId="4">#REF!</definedName>
    <definedName name="_Е1100" localSheetId="6">#REF!</definedName>
    <definedName name="_Е1100">#REF!</definedName>
    <definedName name="_Е1110" localSheetId="3">#REF!</definedName>
    <definedName name="_Е1110" localSheetId="4">#REF!</definedName>
    <definedName name="_Е1110" localSheetId="6">#REF!</definedName>
    <definedName name="_Е1110">#REF!</definedName>
    <definedName name="_Е1120" localSheetId="3">#REF!</definedName>
    <definedName name="_Е1120" localSheetId="4">#REF!</definedName>
    <definedName name="_Е1120" localSheetId="6">#REF!</definedName>
    <definedName name="_Е1120">#REF!</definedName>
    <definedName name="_Е1130" localSheetId="3">#REF!</definedName>
    <definedName name="_Е1130" localSheetId="4">#REF!</definedName>
    <definedName name="_Е1130" localSheetId="6">#REF!</definedName>
    <definedName name="_Е1130">#REF!</definedName>
    <definedName name="_Е1140" localSheetId="3">#REF!</definedName>
    <definedName name="_Е1140" localSheetId="4">#REF!</definedName>
    <definedName name="_Е1140" localSheetId="6">#REF!</definedName>
    <definedName name="_Е1140">#REF!</definedName>
    <definedName name="_Е1150" localSheetId="3">#REF!</definedName>
    <definedName name="_Е1150" localSheetId="4">#REF!</definedName>
    <definedName name="_Е1150" localSheetId="6">#REF!</definedName>
    <definedName name="_Е1150">#REF!</definedName>
    <definedName name="_Е1160" localSheetId="3">#REF!</definedName>
    <definedName name="_Е1160" localSheetId="4">#REF!</definedName>
    <definedName name="_Е1160" localSheetId="6">#REF!</definedName>
    <definedName name="_Е1160">#REF!</definedName>
    <definedName name="_Е1161" localSheetId="3">#REF!</definedName>
    <definedName name="_Е1161" localSheetId="4">#REF!</definedName>
    <definedName name="_Е1161" localSheetId="6">#REF!</definedName>
    <definedName name="_Е1161">#REF!</definedName>
    <definedName name="_Е1162" localSheetId="3">#REF!</definedName>
    <definedName name="_Е1162" localSheetId="4">#REF!</definedName>
    <definedName name="_Е1162" localSheetId="6">#REF!</definedName>
    <definedName name="_Е1162">#REF!</definedName>
    <definedName name="_Е1163" localSheetId="3">#REF!</definedName>
    <definedName name="_Е1163" localSheetId="4">#REF!</definedName>
    <definedName name="_Е1163" localSheetId="6">#REF!</definedName>
    <definedName name="_Е1163">#REF!</definedName>
    <definedName name="_Е1164" localSheetId="3">#REF!</definedName>
    <definedName name="_Е1164" localSheetId="4">#REF!</definedName>
    <definedName name="_Е1164" localSheetId="6">#REF!</definedName>
    <definedName name="_Е1164">#REF!</definedName>
    <definedName name="_Е1170" localSheetId="3">#REF!</definedName>
    <definedName name="_Е1170" localSheetId="4">#REF!</definedName>
    <definedName name="_Е1170" localSheetId="6">#REF!</definedName>
    <definedName name="_Е1170">#REF!</definedName>
    <definedName name="_Е1200" localSheetId="3">#REF!</definedName>
    <definedName name="_Е1200" localSheetId="4">#REF!</definedName>
    <definedName name="_Е1200" localSheetId="6">#REF!</definedName>
    <definedName name="_Е1200">#REF!</definedName>
    <definedName name="_Е1300" localSheetId="3">#REF!</definedName>
    <definedName name="_Е1300" localSheetId="4">#REF!</definedName>
    <definedName name="_Е1300" localSheetId="6">#REF!</definedName>
    <definedName name="_Е1300">#REF!</definedName>
    <definedName name="_Е1340" localSheetId="3">#REF!</definedName>
    <definedName name="_Е1340" localSheetId="4">#REF!</definedName>
    <definedName name="_Е1340" localSheetId="6">#REF!</definedName>
    <definedName name="_Е1340">#REF!</definedName>
    <definedName name="_Е2000" localSheetId="3">#REF!</definedName>
    <definedName name="_Е2000" localSheetId="4">#REF!</definedName>
    <definedName name="_Е2000" localSheetId="6">#REF!</definedName>
    <definedName name="_Е2000">#REF!</definedName>
    <definedName name="_Е2100" localSheetId="3">#REF!</definedName>
    <definedName name="_Е2100" localSheetId="4">#REF!</definedName>
    <definedName name="_Е2100" localSheetId="6">#REF!</definedName>
    <definedName name="_Е2100">#REF!</definedName>
    <definedName name="_Е2110" localSheetId="3">#REF!</definedName>
    <definedName name="_Е2110" localSheetId="4">#REF!</definedName>
    <definedName name="_Е2110" localSheetId="6">#REF!</definedName>
    <definedName name="_Е2110">#REF!</definedName>
    <definedName name="_Е2120" localSheetId="3">#REF!</definedName>
    <definedName name="_Е2120" localSheetId="4">#REF!</definedName>
    <definedName name="_Е2120" localSheetId="6">#REF!</definedName>
    <definedName name="_Е2120">#REF!</definedName>
    <definedName name="_Е2130" localSheetId="3">#REF!</definedName>
    <definedName name="_Е2130" localSheetId="4">#REF!</definedName>
    <definedName name="_Е2130" localSheetId="6">#REF!</definedName>
    <definedName name="_Е2130">#REF!</definedName>
    <definedName name="_Е2200" localSheetId="3">#REF!</definedName>
    <definedName name="_Е2200" localSheetId="4">#REF!</definedName>
    <definedName name="_Е2200" localSheetId="6">#REF!</definedName>
    <definedName name="_Е2200">#REF!</definedName>
    <definedName name="_Е2300" localSheetId="3">#REF!</definedName>
    <definedName name="_Е2300" localSheetId="4">#REF!</definedName>
    <definedName name="_Е2300" localSheetId="6">#REF!</definedName>
    <definedName name="_Е2300">#REF!</definedName>
    <definedName name="_Е3000" localSheetId="3">#REF!</definedName>
    <definedName name="_Е3000" localSheetId="4">#REF!</definedName>
    <definedName name="_Е3000" localSheetId="6">#REF!</definedName>
    <definedName name="_Е3000">#REF!</definedName>
    <definedName name="_Е4000" localSheetId="3">#REF!</definedName>
    <definedName name="_Е4000" localSheetId="4">#REF!</definedName>
    <definedName name="_Е4000" localSheetId="6">#REF!</definedName>
    <definedName name="_Е4000">#REF!</definedName>
    <definedName name="_ІБ900501" localSheetId="3">#REF!</definedName>
    <definedName name="_ІБ900501" localSheetId="4">#REF!</definedName>
    <definedName name="_ІБ900501" localSheetId="6">#REF!</definedName>
    <definedName name="_ІБ900501">#REF!</definedName>
    <definedName name="_ІБ900502" localSheetId="3">#REF!</definedName>
    <definedName name="_ІБ900502" localSheetId="4">#REF!</definedName>
    <definedName name="_ІБ900502" localSheetId="6">#REF!</definedName>
    <definedName name="_ІБ900502">#REF!</definedName>
    <definedName name="_ІВ900201" localSheetId="3">#REF!</definedName>
    <definedName name="_ІВ900201" localSheetId="4">#REF!</definedName>
    <definedName name="_ІВ900201" localSheetId="6">#REF!</definedName>
    <definedName name="_ІВ900201">#REF!</definedName>
    <definedName name="_ІВ900202" localSheetId="3">#REF!</definedName>
    <definedName name="_ІВ900202" localSheetId="4">#REF!</definedName>
    <definedName name="_ІВ900202" localSheetId="6">#REF!</definedName>
    <definedName name="_ІВ900202">#REF!</definedName>
    <definedName name="_ІД900101" localSheetId="3">#REF!</definedName>
    <definedName name="_ІД900101" localSheetId="4">#REF!</definedName>
    <definedName name="_ІД900101" localSheetId="6">#REF!</definedName>
    <definedName name="_ІД900101">#REF!</definedName>
    <definedName name="_ІД900102" localSheetId="3">#REF!</definedName>
    <definedName name="_ІД900102" localSheetId="4">#REF!</definedName>
    <definedName name="_ІД900102" localSheetId="6">#REF!</definedName>
    <definedName name="_ІД900102">#REF!</definedName>
    <definedName name="_ІЕ900203" localSheetId="3">#REF!</definedName>
    <definedName name="_ІЕ900203" localSheetId="4">#REF!</definedName>
    <definedName name="_ІЕ900203" localSheetId="6">#REF!</definedName>
    <definedName name="_ІЕ900203">#REF!</definedName>
    <definedName name="_ІЕ900300" localSheetId="3">#REF!</definedName>
    <definedName name="_ІЕ900300" localSheetId="4">#REF!</definedName>
    <definedName name="_ІЕ900300" localSheetId="6">#REF!</definedName>
    <definedName name="_ІЕ900300">#REF!</definedName>
    <definedName name="_ІФ900400" localSheetId="3">#REF!</definedName>
    <definedName name="_ІФ900400" localSheetId="4">#REF!</definedName>
    <definedName name="_ІФ900400" localSheetId="6">#REF!</definedName>
    <definedName name="_ІФ900400">#REF!</definedName>
    <definedName name="_Ф100000" localSheetId="3">#REF!</definedName>
    <definedName name="_Ф100000" localSheetId="4">#REF!</definedName>
    <definedName name="_Ф100000" localSheetId="6">#REF!</definedName>
    <definedName name="_Ф100000">#REF!</definedName>
    <definedName name="_Ф101000" localSheetId="3">#REF!</definedName>
    <definedName name="_Ф101000" localSheetId="4">#REF!</definedName>
    <definedName name="_Ф101000" localSheetId="6">#REF!</definedName>
    <definedName name="_Ф101000">#REF!</definedName>
    <definedName name="_Ф102000" localSheetId="3">#REF!</definedName>
    <definedName name="_Ф102000" localSheetId="4">#REF!</definedName>
    <definedName name="_Ф102000" localSheetId="6">#REF!</definedName>
    <definedName name="_Ф102000">#REF!</definedName>
    <definedName name="_Ф201000" localSheetId="3">#REF!</definedName>
    <definedName name="_Ф201000" localSheetId="4">#REF!</definedName>
    <definedName name="_Ф201000" localSheetId="6">#REF!</definedName>
    <definedName name="_Ф201000">#REF!</definedName>
    <definedName name="_Ф201010" localSheetId="3">#REF!</definedName>
    <definedName name="_Ф201010" localSheetId="4">#REF!</definedName>
    <definedName name="_Ф201010" localSheetId="6">#REF!</definedName>
    <definedName name="_Ф201010">#REF!</definedName>
    <definedName name="_Ф201011" localSheetId="3">#REF!</definedName>
    <definedName name="_Ф201011" localSheetId="4">#REF!</definedName>
    <definedName name="_Ф201011" localSheetId="6">#REF!</definedName>
    <definedName name="_Ф201011">#REF!</definedName>
    <definedName name="_Ф201012" localSheetId="3">#REF!</definedName>
    <definedName name="_Ф201012" localSheetId="4">#REF!</definedName>
    <definedName name="_Ф201012" localSheetId="6">#REF!</definedName>
    <definedName name="_Ф201012">#REF!</definedName>
    <definedName name="_Ф201020" localSheetId="3">#REF!</definedName>
    <definedName name="_Ф201020" localSheetId="4">#REF!</definedName>
    <definedName name="_Ф201020" localSheetId="6">#REF!</definedName>
    <definedName name="_Ф201020">#REF!</definedName>
    <definedName name="_Ф201021" localSheetId="3">#REF!</definedName>
    <definedName name="_Ф201021" localSheetId="4">#REF!</definedName>
    <definedName name="_Ф201021" localSheetId="6">#REF!</definedName>
    <definedName name="_Ф201021">#REF!</definedName>
    <definedName name="_Ф201022" localSheetId="3">#REF!</definedName>
    <definedName name="_Ф201022" localSheetId="4">#REF!</definedName>
    <definedName name="_Ф201022" localSheetId="6">#REF!</definedName>
    <definedName name="_Ф201022">#REF!</definedName>
    <definedName name="_Ф201030" localSheetId="3">#REF!</definedName>
    <definedName name="_Ф201030" localSheetId="4">#REF!</definedName>
    <definedName name="_Ф201030" localSheetId="6">#REF!</definedName>
    <definedName name="_Ф201030">#REF!</definedName>
    <definedName name="_Ф201031" localSheetId="3">#REF!</definedName>
    <definedName name="_Ф201031" localSheetId="4">#REF!</definedName>
    <definedName name="_Ф201031" localSheetId="6">#REF!</definedName>
    <definedName name="_Ф201031">#REF!</definedName>
    <definedName name="_Ф201032" localSheetId="3">#REF!</definedName>
    <definedName name="_Ф201032" localSheetId="4">#REF!</definedName>
    <definedName name="_Ф201032" localSheetId="6">#REF!</definedName>
    <definedName name="_Ф201032">#REF!</definedName>
    <definedName name="_Ф202000" localSheetId="3">#REF!</definedName>
    <definedName name="_Ф202000" localSheetId="4">#REF!</definedName>
    <definedName name="_Ф202000" localSheetId="6">#REF!</definedName>
    <definedName name="_Ф202000">#REF!</definedName>
    <definedName name="_Ф202010" localSheetId="3">#REF!</definedName>
    <definedName name="_Ф202010" localSheetId="4">#REF!</definedName>
    <definedName name="_Ф202010" localSheetId="6">#REF!</definedName>
    <definedName name="_Ф202010">#REF!</definedName>
    <definedName name="_Ф202011" localSheetId="3">#REF!</definedName>
    <definedName name="_Ф202011" localSheetId="4">#REF!</definedName>
    <definedName name="_Ф202011" localSheetId="6">#REF!</definedName>
    <definedName name="_Ф202011">#REF!</definedName>
    <definedName name="_Ф202012" localSheetId="3">#REF!</definedName>
    <definedName name="_Ф202012" localSheetId="4">#REF!</definedName>
    <definedName name="_Ф202012" localSheetId="6">#REF!</definedName>
    <definedName name="_Ф202012">#REF!</definedName>
    <definedName name="_Ф203000" localSheetId="3">#REF!</definedName>
    <definedName name="_Ф203000" localSheetId="4">#REF!</definedName>
    <definedName name="_Ф203000" localSheetId="6">#REF!</definedName>
    <definedName name="_Ф203000">#REF!</definedName>
    <definedName name="_Ф203010" localSheetId="3">#REF!</definedName>
    <definedName name="_Ф203010" localSheetId="4">#REF!</definedName>
    <definedName name="_Ф203010" localSheetId="6">#REF!</definedName>
    <definedName name="_Ф203010">#REF!</definedName>
    <definedName name="_Ф203011" localSheetId="3">#REF!</definedName>
    <definedName name="_Ф203011" localSheetId="4">#REF!</definedName>
    <definedName name="_Ф203011" localSheetId="6">#REF!</definedName>
    <definedName name="_Ф203011">#REF!</definedName>
    <definedName name="_Ф203012" localSheetId="3">#REF!</definedName>
    <definedName name="_Ф203012" localSheetId="4">#REF!</definedName>
    <definedName name="_Ф203012" localSheetId="6">#REF!</definedName>
    <definedName name="_Ф203012">#REF!</definedName>
    <definedName name="_Ф204000" localSheetId="3">#REF!</definedName>
    <definedName name="_Ф204000" localSheetId="4">#REF!</definedName>
    <definedName name="_Ф204000" localSheetId="6">#REF!</definedName>
    <definedName name="_Ф204000">#REF!</definedName>
    <definedName name="_Ф205000" localSheetId="3">#REF!</definedName>
    <definedName name="_Ф205000" localSheetId="4">#REF!</definedName>
    <definedName name="_Ф205000" localSheetId="6">#REF!</definedName>
    <definedName name="_Ф205000">#REF!</definedName>
    <definedName name="_Ф206000" localSheetId="3">#REF!</definedName>
    <definedName name="_Ф206000" localSheetId="4">#REF!</definedName>
    <definedName name="_Ф206000" localSheetId="6">#REF!</definedName>
    <definedName name="_Ф206000">#REF!</definedName>
    <definedName name="_Ф206001" localSheetId="3">#REF!</definedName>
    <definedName name="_Ф206001" localSheetId="4">#REF!</definedName>
    <definedName name="_Ф206001" localSheetId="6">#REF!</definedName>
    <definedName name="_Ф206001">#REF!</definedName>
    <definedName name="_Ф206002" localSheetId="3">#REF!</definedName>
    <definedName name="_Ф206002" localSheetId="4">#REF!</definedName>
    <definedName name="_Ф206002" localSheetId="6">#REF!</definedName>
    <definedName name="_Ф206002">#REF!</definedName>
    <definedName name="Б22110">#REF!</definedName>
    <definedName name="_xlnm.Database" localSheetId="3">#REF!</definedName>
    <definedName name="_xlnm.Database" localSheetId="4">#REF!</definedName>
    <definedName name="_xlnm.Database" localSheetId="6">#REF!</definedName>
    <definedName name="_xlnm.Database">#REF!</definedName>
    <definedName name="В68" localSheetId="3">#REF!</definedName>
    <definedName name="В68" localSheetId="4">#REF!</definedName>
    <definedName name="В68" localSheetId="6">#REF!</definedName>
    <definedName name="В68">#REF!</definedName>
    <definedName name="вс" localSheetId="3">#REF!</definedName>
    <definedName name="вс" localSheetId="4">#REF!</definedName>
    <definedName name="вс" localSheetId="6">#REF!</definedName>
    <definedName name="вс">#REF!</definedName>
    <definedName name="_xlnm.Print_Titles" localSheetId="1">'дод 2'!$A:$C</definedName>
    <definedName name="_xlnm.Print_Titles" localSheetId="2">'дод 3 '!$7:$8</definedName>
    <definedName name="_xlnm.Print_Titles" localSheetId="3">'дод 4'!$7:$8</definedName>
    <definedName name="_xlnm.Print_Titles" localSheetId="5">коефіціенти!$9:$10</definedName>
    <definedName name="_xlnm.Print_Titles" localSheetId="6">'коефіціенти (2)'!$9:$10</definedName>
    <definedName name="_xlnm.Print_Area" localSheetId="0">' дод.1'!$A$1:$F$34</definedName>
    <definedName name="_xlnm.Print_Area" localSheetId="1">'дод 2'!$A$1:$O$111</definedName>
    <definedName name="_xlnm.Print_Area" localSheetId="5">коефіціенти!$B$1:$AP$103</definedName>
    <definedName name="_xlnm.Print_Area" localSheetId="6">'коефіціенти (2)'!$B$1:$AP$103</definedName>
  </definedNames>
  <calcPr calcId="144525"/>
</workbook>
</file>

<file path=xl/calcChain.xml><?xml version="1.0" encoding="utf-8"?>
<calcChain xmlns="http://schemas.openxmlformats.org/spreadsheetml/2006/main">
  <c r="T11" i="7" l="1"/>
  <c r="P11" i="7"/>
  <c r="K11" i="7"/>
  <c r="K13" i="7"/>
  <c r="K12" i="7"/>
  <c r="S21" i="6"/>
  <c r="O21" i="6"/>
  <c r="F22" i="5" l="1"/>
  <c r="E22" i="5"/>
  <c r="K90" i="6"/>
  <c r="L12" i="6"/>
  <c r="H95" i="14" l="1"/>
  <c r="K15" i="12" l="1"/>
  <c r="N15" i="12" s="1"/>
  <c r="H15" i="12"/>
  <c r="H18" i="12"/>
  <c r="K18" i="12" s="1"/>
  <c r="N18" i="12" s="1"/>
  <c r="H17" i="12"/>
  <c r="K17" i="12" s="1"/>
  <c r="N17" i="12" s="1"/>
  <c r="H16" i="12"/>
  <c r="K16" i="12" s="1"/>
  <c r="N16" i="12" s="1"/>
  <c r="F15" i="5" l="1"/>
  <c r="E15" i="5"/>
  <c r="N19" i="12" l="1"/>
  <c r="E97" i="12" l="1"/>
  <c r="D102" i="12"/>
  <c r="M16" i="6" l="1"/>
  <c r="L16" i="6"/>
  <c r="J92" i="12" l="1"/>
  <c r="G92" i="12"/>
  <c r="W92" i="12" s="1"/>
  <c r="J96" i="12"/>
  <c r="J95" i="12" s="1"/>
  <c r="G96" i="12"/>
  <c r="G95" i="12" s="1"/>
  <c r="G50" i="12"/>
  <c r="G51" i="12"/>
  <c r="G52" i="12"/>
  <c r="G15" i="12"/>
  <c r="G16" i="12"/>
  <c r="G17" i="12"/>
  <c r="G18" i="12"/>
  <c r="G20" i="12"/>
  <c r="G19" i="12" s="1"/>
  <c r="G23" i="12"/>
  <c r="G22" i="12" s="1"/>
  <c r="G21" i="12" s="1"/>
  <c r="G25" i="12"/>
  <c r="G24" i="12" s="1"/>
  <c r="G28" i="12"/>
  <c r="G27" i="12" s="1"/>
  <c r="G31" i="12"/>
  <c r="G34" i="12"/>
  <c r="G35" i="12"/>
  <c r="G36" i="12"/>
  <c r="G37" i="12"/>
  <c r="G38" i="12"/>
  <c r="G39" i="12"/>
  <c r="G40" i="12"/>
  <c r="G41" i="12"/>
  <c r="G42" i="12"/>
  <c r="G43" i="12"/>
  <c r="G45" i="12"/>
  <c r="G46" i="12"/>
  <c r="G47" i="12"/>
  <c r="G56" i="12"/>
  <c r="G57" i="12"/>
  <c r="G55" i="12" s="1"/>
  <c r="G60" i="12"/>
  <c r="G61" i="12"/>
  <c r="G62" i="12"/>
  <c r="G64" i="12"/>
  <c r="G63" i="12" s="1"/>
  <c r="G66" i="12"/>
  <c r="G67" i="12"/>
  <c r="G68" i="12"/>
  <c r="G78" i="12"/>
  <c r="G79" i="12"/>
  <c r="G80" i="12"/>
  <c r="G77" i="12" s="1"/>
  <c r="G82" i="12"/>
  <c r="G83" i="12"/>
  <c r="G87" i="12"/>
  <c r="G86" i="12" s="1"/>
  <c r="G85" i="12" s="1"/>
  <c r="G84" i="12" s="1"/>
  <c r="G91" i="12"/>
  <c r="G93" i="12"/>
  <c r="G94" i="12"/>
  <c r="G98" i="12"/>
  <c r="G99" i="12"/>
  <c r="G100" i="12"/>
  <c r="G101" i="12"/>
  <c r="G103" i="12"/>
  <c r="G104" i="12"/>
  <c r="J50" i="12"/>
  <c r="J51" i="12"/>
  <c r="J52" i="12"/>
  <c r="J15" i="12"/>
  <c r="J16" i="12"/>
  <c r="J17" i="12"/>
  <c r="J18" i="12"/>
  <c r="J20" i="12"/>
  <c r="J19" i="12" s="1"/>
  <c r="J23" i="12"/>
  <c r="J22" i="12"/>
  <c r="J25" i="12"/>
  <c r="J24" i="12" s="1"/>
  <c r="J28" i="12"/>
  <c r="J27" i="12" s="1"/>
  <c r="J30" i="12"/>
  <c r="J29" i="12" s="1"/>
  <c r="W29" i="12" s="1"/>
  <c r="J31" i="12"/>
  <c r="J34" i="12"/>
  <c r="W34" i="12" s="1"/>
  <c r="J35" i="12"/>
  <c r="J36" i="12"/>
  <c r="W36" i="12" s="1"/>
  <c r="J37" i="12"/>
  <c r="J38" i="12"/>
  <c r="J39" i="12"/>
  <c r="J40" i="12"/>
  <c r="W40" i="12" s="1"/>
  <c r="J41" i="12"/>
  <c r="J42" i="12"/>
  <c r="J43" i="12"/>
  <c r="J45" i="12"/>
  <c r="J46" i="12"/>
  <c r="J47" i="12"/>
  <c r="J56" i="12"/>
  <c r="J57" i="12"/>
  <c r="J60" i="12"/>
  <c r="J61" i="12"/>
  <c r="J62" i="12"/>
  <c r="J64" i="12"/>
  <c r="J63" i="12" s="1"/>
  <c r="J66" i="12"/>
  <c r="J67" i="12"/>
  <c r="J68" i="12"/>
  <c r="J65" i="12" s="1"/>
  <c r="J78" i="12"/>
  <c r="J79" i="12"/>
  <c r="W79" i="12" s="1"/>
  <c r="J80" i="12"/>
  <c r="J82" i="12"/>
  <c r="J83" i="12"/>
  <c r="J81" i="12"/>
  <c r="J87" i="12"/>
  <c r="J86" i="12"/>
  <c r="J85" i="12" s="1"/>
  <c r="J84" i="12" s="1"/>
  <c r="W84" i="12" s="1"/>
  <c r="J91" i="12"/>
  <c r="J93" i="12"/>
  <c r="J94" i="12"/>
  <c r="W94" i="12" s="1"/>
  <c r="J98" i="12"/>
  <c r="J99" i="12"/>
  <c r="J100" i="12"/>
  <c r="W100" i="12" s="1"/>
  <c r="J101" i="12"/>
  <c r="W101" i="12" s="1"/>
  <c r="J103" i="12"/>
  <c r="J104" i="12"/>
  <c r="W104" i="12" s="1"/>
  <c r="W119" i="11"/>
  <c r="W118" i="11"/>
  <c r="W115" i="11"/>
  <c r="W114" i="11"/>
  <c r="X77" i="11"/>
  <c r="X74" i="11"/>
  <c r="Y74" i="11" s="1"/>
  <c r="Y73" i="11" s="1"/>
  <c r="R19" i="11"/>
  <c r="S19" i="11" s="1"/>
  <c r="M104" i="12"/>
  <c r="X104" i="12" s="1"/>
  <c r="D104" i="12"/>
  <c r="V104" i="12" s="1"/>
  <c r="S103" i="12"/>
  <c r="Q103" i="12"/>
  <c r="M103" i="12"/>
  <c r="W103" i="12"/>
  <c r="D103" i="12"/>
  <c r="V103" i="12" s="1"/>
  <c r="M101" i="12"/>
  <c r="X101" i="12" s="1"/>
  <c r="D101" i="12"/>
  <c r="V101" i="12" s="1"/>
  <c r="S100" i="12"/>
  <c r="Q100" i="12"/>
  <c r="M100" i="12"/>
  <c r="X100" i="12" s="1"/>
  <c r="D100" i="12"/>
  <c r="V100" i="12" s="1"/>
  <c r="M99" i="12"/>
  <c r="X99" i="12" s="1"/>
  <c r="D99" i="12"/>
  <c r="Q98" i="12"/>
  <c r="M98" i="12"/>
  <c r="X98" i="12" s="1"/>
  <c r="W98" i="12"/>
  <c r="D98" i="12"/>
  <c r="O97" i="12"/>
  <c r="N97" i="12"/>
  <c r="K97" i="12"/>
  <c r="L97" i="12"/>
  <c r="H97" i="12"/>
  <c r="Q97" i="12" s="1"/>
  <c r="I97" i="12"/>
  <c r="F97" i="12"/>
  <c r="Q96" i="12"/>
  <c r="M96" i="12"/>
  <c r="X96" i="12" s="1"/>
  <c r="D96" i="12"/>
  <c r="V96" i="12" s="1"/>
  <c r="O95" i="12"/>
  <c r="N95" i="12"/>
  <c r="K95" i="12"/>
  <c r="L95" i="12"/>
  <c r="H95" i="12"/>
  <c r="I95" i="12"/>
  <c r="F95" i="12"/>
  <c r="E95" i="12"/>
  <c r="M94" i="12"/>
  <c r="X94" i="12" s="1"/>
  <c r="D94" i="12"/>
  <c r="V94" i="12" s="1"/>
  <c r="Q93" i="12"/>
  <c r="M93" i="12"/>
  <c r="X93" i="12" s="1"/>
  <c r="W93" i="12"/>
  <c r="D93" i="12"/>
  <c r="V93" i="12" s="1"/>
  <c r="S92" i="12"/>
  <c r="Q92" i="12"/>
  <c r="M92" i="12"/>
  <c r="X92" i="12" s="1"/>
  <c r="D92" i="12"/>
  <c r="V92" i="12" s="1"/>
  <c r="M91" i="12"/>
  <c r="X91" i="12" s="1"/>
  <c r="W91" i="12"/>
  <c r="D91" i="12"/>
  <c r="V91" i="12" s="1"/>
  <c r="O90" i="12"/>
  <c r="O89" i="12" s="1"/>
  <c r="O88" i="12" s="1"/>
  <c r="N90" i="12"/>
  <c r="K90" i="12"/>
  <c r="M90" i="12"/>
  <c r="L90" i="12"/>
  <c r="L89" i="12" s="1"/>
  <c r="H90" i="12"/>
  <c r="I90" i="12"/>
  <c r="I89" i="12" s="1"/>
  <c r="I88" i="12" s="1"/>
  <c r="F90" i="12"/>
  <c r="E90" i="12"/>
  <c r="F89" i="12"/>
  <c r="F88" i="12" s="1"/>
  <c r="L88" i="12"/>
  <c r="T87" i="12"/>
  <c r="R87" i="12"/>
  <c r="M87" i="12"/>
  <c r="X87" i="12"/>
  <c r="W87" i="12"/>
  <c r="D87" i="12"/>
  <c r="O86" i="12"/>
  <c r="O85" i="12" s="1"/>
  <c r="L86" i="12"/>
  <c r="T86" i="12" s="1"/>
  <c r="N86" i="12"/>
  <c r="N85" i="12" s="1"/>
  <c r="N84" i="12" s="1"/>
  <c r="M86" i="12"/>
  <c r="I86" i="12"/>
  <c r="K86" i="12"/>
  <c r="K85" i="12" s="1"/>
  <c r="K84" i="12" s="1"/>
  <c r="W86" i="12"/>
  <c r="H86" i="12"/>
  <c r="H85" i="12" s="1"/>
  <c r="F86" i="12"/>
  <c r="F85" i="12" s="1"/>
  <c r="F84" i="12" s="1"/>
  <c r="E86" i="12"/>
  <c r="E85" i="12"/>
  <c r="E84" i="12" s="1"/>
  <c r="O84" i="12"/>
  <c r="H84" i="12"/>
  <c r="M83" i="12"/>
  <c r="X83" i="12" s="1"/>
  <c r="W83" i="12"/>
  <c r="D83" i="12"/>
  <c r="V83" i="12" s="1"/>
  <c r="M82" i="12"/>
  <c r="X82" i="12" s="1"/>
  <c r="W82" i="12"/>
  <c r="D82" i="12"/>
  <c r="V82" i="12" s="1"/>
  <c r="O81" i="12"/>
  <c r="N81" i="12"/>
  <c r="M81" i="12"/>
  <c r="X81" i="12" s="1"/>
  <c r="L81" i="12"/>
  <c r="K81" i="12"/>
  <c r="I81" i="12"/>
  <c r="H81" i="12"/>
  <c r="F81" i="12"/>
  <c r="E81" i="12"/>
  <c r="M80" i="12"/>
  <c r="X80" i="12"/>
  <c r="W80" i="12"/>
  <c r="D80" i="12"/>
  <c r="V80" i="12" s="1"/>
  <c r="T79" i="12"/>
  <c r="R79" i="12"/>
  <c r="M79" i="12"/>
  <c r="X79" i="12" s="1"/>
  <c r="D79" i="12"/>
  <c r="V79" i="12" s="1"/>
  <c r="T78" i="12"/>
  <c r="R78" i="12"/>
  <c r="M78" i="12"/>
  <c r="X78" i="12" s="1"/>
  <c r="W78" i="12"/>
  <c r="D78" i="12"/>
  <c r="V78" i="12" s="1"/>
  <c r="O77" i="12"/>
  <c r="O76" i="12" s="1"/>
  <c r="L77" i="12"/>
  <c r="T77" i="12"/>
  <c r="N77" i="12"/>
  <c r="I77" i="12"/>
  <c r="R77" i="12" s="1"/>
  <c r="K77" i="12"/>
  <c r="K76" i="12" s="1"/>
  <c r="H77" i="12"/>
  <c r="H76" i="12" s="1"/>
  <c r="F77" i="12"/>
  <c r="E77" i="12"/>
  <c r="E76" i="12" s="1"/>
  <c r="L76" i="12"/>
  <c r="N76" i="12"/>
  <c r="M75" i="12"/>
  <c r="J75" i="12"/>
  <c r="X75" i="12" s="1"/>
  <c r="G75" i="12"/>
  <c r="D75" i="12"/>
  <c r="M74" i="12"/>
  <c r="J74" i="12"/>
  <c r="G74" i="12"/>
  <c r="D74" i="12"/>
  <c r="M73" i="12"/>
  <c r="J73" i="12"/>
  <c r="X73" i="12" s="1"/>
  <c r="G73" i="12"/>
  <c r="V73" i="12" s="1"/>
  <c r="D73" i="12"/>
  <c r="M72" i="12"/>
  <c r="J72" i="12"/>
  <c r="G72" i="12"/>
  <c r="D72" i="12"/>
  <c r="O71" i="12"/>
  <c r="O70" i="12" s="1"/>
  <c r="N71" i="12"/>
  <c r="L71" i="12"/>
  <c r="L70" i="12" s="1"/>
  <c r="K71" i="12"/>
  <c r="K70" i="12" s="1"/>
  <c r="I71" i="12"/>
  <c r="I70" i="12" s="1"/>
  <c r="H71" i="12"/>
  <c r="H70" i="12" s="1"/>
  <c r="F71" i="12"/>
  <c r="F70" i="12" s="1"/>
  <c r="E71" i="12"/>
  <c r="E70" i="12" s="1"/>
  <c r="N70" i="12"/>
  <c r="X69" i="12"/>
  <c r="W69" i="12"/>
  <c r="V69" i="12"/>
  <c r="M68" i="12"/>
  <c r="W68" i="12"/>
  <c r="D68" i="12"/>
  <c r="M67" i="12"/>
  <c r="X67" i="12" s="1"/>
  <c r="W67" i="12"/>
  <c r="D67" i="12"/>
  <c r="V67" i="12" s="1"/>
  <c r="S66" i="12"/>
  <c r="Q66" i="12"/>
  <c r="M66" i="12"/>
  <c r="W66" i="12"/>
  <c r="D66" i="12"/>
  <c r="V66" i="12" s="1"/>
  <c r="O65" i="12"/>
  <c r="N65" i="12"/>
  <c r="L65" i="12"/>
  <c r="K65" i="12"/>
  <c r="I65" i="12"/>
  <c r="H65" i="12"/>
  <c r="F65" i="12"/>
  <c r="E65" i="12"/>
  <c r="M64" i="12"/>
  <c r="X64" i="12" s="1"/>
  <c r="D64" i="12"/>
  <c r="V64" i="12" s="1"/>
  <c r="O63" i="12"/>
  <c r="N63" i="12"/>
  <c r="M63" i="12"/>
  <c r="L63" i="12"/>
  <c r="K63" i="12"/>
  <c r="I63" i="12"/>
  <c r="H63" i="12"/>
  <c r="E63" i="12"/>
  <c r="S62" i="12"/>
  <c r="Q62" i="12"/>
  <c r="M62" i="12"/>
  <c r="W62" i="12"/>
  <c r="D62" i="12"/>
  <c r="S61" i="12"/>
  <c r="Q61" i="12"/>
  <c r="M61" i="12"/>
  <c r="X61" i="12" s="1"/>
  <c r="D61" i="12"/>
  <c r="V61" i="12" s="1"/>
  <c r="S60" i="12"/>
  <c r="Q60" i="12"/>
  <c r="M60" i="12"/>
  <c r="W60" i="12"/>
  <c r="D60" i="12"/>
  <c r="O59" i="12"/>
  <c r="O58" i="12" s="1"/>
  <c r="N59" i="12"/>
  <c r="K59" i="12"/>
  <c r="S59" i="12" s="1"/>
  <c r="L59" i="12"/>
  <c r="L58" i="12" s="1"/>
  <c r="I59" i="12"/>
  <c r="I58" i="12" s="1"/>
  <c r="H59" i="12"/>
  <c r="Q59" i="12"/>
  <c r="F59" i="12"/>
  <c r="F58" i="12"/>
  <c r="E59" i="12"/>
  <c r="D59" i="12"/>
  <c r="E58" i="12"/>
  <c r="S57" i="12"/>
  <c r="Q57" i="12"/>
  <c r="M57" i="12"/>
  <c r="X57" i="12" s="1"/>
  <c r="D57" i="12"/>
  <c r="S56" i="12"/>
  <c r="Q56" i="12"/>
  <c r="M56" i="12"/>
  <c r="W56" i="12"/>
  <c r="D56" i="12"/>
  <c r="D55" i="12" s="1"/>
  <c r="O55" i="12"/>
  <c r="N55" i="12"/>
  <c r="K55" i="12"/>
  <c r="L55" i="12"/>
  <c r="L54" i="12" s="1"/>
  <c r="I55" i="12"/>
  <c r="I54" i="12" s="1"/>
  <c r="H55" i="12"/>
  <c r="Q55" i="12"/>
  <c r="F55" i="12"/>
  <c r="F54" i="12"/>
  <c r="E55" i="12"/>
  <c r="E54" i="12" s="1"/>
  <c r="E53" i="12" s="1"/>
  <c r="O54" i="12"/>
  <c r="T52" i="12"/>
  <c r="R52" i="12"/>
  <c r="M52" i="12"/>
  <c r="X52" i="12" s="1"/>
  <c r="D52" i="12"/>
  <c r="T51" i="12"/>
  <c r="R51" i="12"/>
  <c r="M51" i="12"/>
  <c r="X51" i="12" s="1"/>
  <c r="D51" i="12"/>
  <c r="V51" i="12" s="1"/>
  <c r="T50" i="12"/>
  <c r="R50" i="12"/>
  <c r="M50" i="12"/>
  <c r="X50" i="12" s="1"/>
  <c r="W50" i="12"/>
  <c r="D50" i="12"/>
  <c r="D49" i="12" s="1"/>
  <c r="O49" i="12"/>
  <c r="O48" i="12" s="1"/>
  <c r="L49" i="12"/>
  <c r="N49" i="12"/>
  <c r="N48" i="12" s="1"/>
  <c r="I49" i="12"/>
  <c r="K49" i="12"/>
  <c r="K48" i="12" s="1"/>
  <c r="H49" i="12"/>
  <c r="H48" i="12" s="1"/>
  <c r="F49" i="12"/>
  <c r="F48" i="12" s="1"/>
  <c r="E49" i="12"/>
  <c r="I48" i="12"/>
  <c r="E48" i="12"/>
  <c r="S47" i="12"/>
  <c r="Q47" i="12"/>
  <c r="M47" i="12"/>
  <c r="X47" i="12" s="1"/>
  <c r="D47" i="12"/>
  <c r="V47" i="12" s="1"/>
  <c r="S46" i="12"/>
  <c r="Q46" i="12"/>
  <c r="M46" i="12"/>
  <c r="X46" i="12" s="1"/>
  <c r="W46" i="12"/>
  <c r="D46" i="12"/>
  <c r="S45" i="12"/>
  <c r="Q45" i="12"/>
  <c r="M45" i="12"/>
  <c r="X45" i="12" s="1"/>
  <c r="D45" i="12"/>
  <c r="V45" i="12" s="1"/>
  <c r="O44" i="12"/>
  <c r="N44" i="12"/>
  <c r="L44" i="12"/>
  <c r="K44" i="12"/>
  <c r="I44" i="12"/>
  <c r="H44" i="12"/>
  <c r="Q44" i="12" s="1"/>
  <c r="F44" i="12"/>
  <c r="E44" i="12"/>
  <c r="S43" i="12"/>
  <c r="Q43" i="12"/>
  <c r="M43" i="12"/>
  <c r="X43" i="12" s="1"/>
  <c r="D43" i="12"/>
  <c r="V43" i="12" s="1"/>
  <c r="S42" i="12"/>
  <c r="Q42" i="12"/>
  <c r="M42" i="12"/>
  <c r="W42" i="12"/>
  <c r="D42" i="12"/>
  <c r="S41" i="12"/>
  <c r="Q41" i="12"/>
  <c r="M41" i="12"/>
  <c r="X41" i="12" s="1"/>
  <c r="D41" i="12"/>
  <c r="V41" i="12" s="1"/>
  <c r="S40" i="12"/>
  <c r="Q40" i="12"/>
  <c r="M40" i="12"/>
  <c r="X40" i="12" s="1"/>
  <c r="D40" i="12"/>
  <c r="S39" i="12"/>
  <c r="Q39" i="12"/>
  <c r="M39" i="12"/>
  <c r="X39" i="12" s="1"/>
  <c r="D39" i="12"/>
  <c r="S38" i="12"/>
  <c r="Q38" i="12"/>
  <c r="M38" i="12"/>
  <c r="W38" i="12"/>
  <c r="D38" i="12"/>
  <c r="S37" i="12"/>
  <c r="Q37" i="12"/>
  <c r="M37" i="12"/>
  <c r="X37" i="12" s="1"/>
  <c r="D37" i="12"/>
  <c r="V37" i="12" s="1"/>
  <c r="S36" i="12"/>
  <c r="Q36" i="12"/>
  <c r="M36" i="12"/>
  <c r="X36" i="12" s="1"/>
  <c r="D36" i="12"/>
  <c r="S35" i="12"/>
  <c r="Q35" i="12"/>
  <c r="M35" i="12"/>
  <c r="X35" i="12" s="1"/>
  <c r="D35" i="12"/>
  <c r="V35" i="12" s="1"/>
  <c r="S34" i="12"/>
  <c r="Q34" i="12"/>
  <c r="M34" i="12"/>
  <c r="D34" i="12"/>
  <c r="O33" i="12"/>
  <c r="O32" i="12" s="1"/>
  <c r="N33" i="12"/>
  <c r="K33" i="12"/>
  <c r="L33" i="12"/>
  <c r="L32" i="12" s="1"/>
  <c r="I33" i="12"/>
  <c r="I32" i="12" s="1"/>
  <c r="H33" i="12"/>
  <c r="F33" i="12"/>
  <c r="F32" i="12"/>
  <c r="E33" i="12"/>
  <c r="D33" i="12"/>
  <c r="E32" i="12"/>
  <c r="S31" i="12"/>
  <c r="Q31" i="12"/>
  <c r="M31" i="12"/>
  <c r="X31" i="12" s="1"/>
  <c r="D31" i="12"/>
  <c r="V31" i="12"/>
  <c r="M30" i="12"/>
  <c r="X30" i="12" s="1"/>
  <c r="W30" i="12"/>
  <c r="D30" i="12"/>
  <c r="V30" i="12" s="1"/>
  <c r="O29" i="12"/>
  <c r="O26" i="12" s="1"/>
  <c r="N29" i="12"/>
  <c r="L29" i="12"/>
  <c r="K29" i="12"/>
  <c r="I29" i="12"/>
  <c r="D29" i="12"/>
  <c r="F29" i="12"/>
  <c r="E29" i="12"/>
  <c r="M28" i="12"/>
  <c r="X28" i="12" s="1"/>
  <c r="W28" i="12"/>
  <c r="D28" i="12"/>
  <c r="V28" i="12" s="1"/>
  <c r="O27" i="12"/>
  <c r="N27" i="12"/>
  <c r="N26" i="12" s="1"/>
  <c r="L27" i="12"/>
  <c r="L26" i="12" s="1"/>
  <c r="K27" i="12"/>
  <c r="I27" i="12"/>
  <c r="I26" i="12" s="1"/>
  <c r="H27" i="12"/>
  <c r="H26" i="12" s="1"/>
  <c r="F27" i="12"/>
  <c r="F26" i="12" s="1"/>
  <c r="E27" i="12"/>
  <c r="D27" i="12"/>
  <c r="D26" i="12" s="1"/>
  <c r="E26" i="12"/>
  <c r="S25" i="12"/>
  <c r="Q25" i="12"/>
  <c r="M25" i="12"/>
  <c r="D25" i="12"/>
  <c r="D24" i="12" s="1"/>
  <c r="V24" i="12" s="1"/>
  <c r="N24" i="12"/>
  <c r="N21" i="12" s="1"/>
  <c r="K24" i="12"/>
  <c r="O24" i="12"/>
  <c r="M24" i="12"/>
  <c r="L24" i="12"/>
  <c r="H24" i="12"/>
  <c r="Q24" i="12"/>
  <c r="I24" i="12"/>
  <c r="F24" i="12"/>
  <c r="F21" i="12" s="1"/>
  <c r="E24" i="12"/>
  <c r="M23" i="12"/>
  <c r="X23" i="12" s="1"/>
  <c r="D23" i="12"/>
  <c r="V23" i="12" s="1"/>
  <c r="O22" i="12"/>
  <c r="O21" i="12" s="1"/>
  <c r="N22" i="12"/>
  <c r="M22" i="12"/>
  <c r="M21" i="12" s="1"/>
  <c r="L22" i="12"/>
  <c r="K22" i="12"/>
  <c r="K21" i="12" s="1"/>
  <c r="I22" i="12"/>
  <c r="H22" i="12"/>
  <c r="F22" i="12"/>
  <c r="E22" i="12"/>
  <c r="H21" i="12"/>
  <c r="S20" i="12"/>
  <c r="Q20" i="12"/>
  <c r="M20" i="12"/>
  <c r="X20" i="12" s="1"/>
  <c r="D20" i="12"/>
  <c r="V20" i="12"/>
  <c r="O19" i="12"/>
  <c r="K19" i="12"/>
  <c r="S19" i="12" s="1"/>
  <c r="L19" i="12"/>
  <c r="I19" i="12"/>
  <c r="H19" i="12"/>
  <c r="F19" i="12"/>
  <c r="E19" i="12"/>
  <c r="D19" i="12"/>
  <c r="S18" i="12"/>
  <c r="Q18" i="12"/>
  <c r="M18" i="12"/>
  <c r="X18" i="12" s="1"/>
  <c r="D18" i="12"/>
  <c r="S17" i="12"/>
  <c r="Q17" i="12"/>
  <c r="M17" i="12"/>
  <c r="X17" i="12" s="1"/>
  <c r="D17" i="12"/>
  <c r="V17" i="12" s="1"/>
  <c r="S16" i="12"/>
  <c r="Q16" i="12"/>
  <c r="M16" i="12"/>
  <c r="D16" i="12"/>
  <c r="S15" i="12"/>
  <c r="Q15" i="12"/>
  <c r="M15" i="12"/>
  <c r="D15" i="12"/>
  <c r="O14" i="12"/>
  <c r="O13" i="12"/>
  <c r="N14" i="12"/>
  <c r="L14" i="12"/>
  <c r="L13" i="12" s="1"/>
  <c r="K14" i="12"/>
  <c r="I14" i="12"/>
  <c r="I13" i="12" s="1"/>
  <c r="H14" i="12"/>
  <c r="F14" i="12"/>
  <c r="E14" i="12"/>
  <c r="E13" i="12" s="1"/>
  <c r="F13" i="12"/>
  <c r="X73" i="11"/>
  <c r="V15" i="12"/>
  <c r="W15" i="12"/>
  <c r="W17" i="12"/>
  <c r="M19" i="12"/>
  <c r="X19" i="12" s="1"/>
  <c r="W20" i="12"/>
  <c r="D22" i="12"/>
  <c r="D21" i="12" s="1"/>
  <c r="E21" i="12"/>
  <c r="I21" i="12"/>
  <c r="W23" i="12"/>
  <c r="V25" i="12"/>
  <c r="W31" i="12"/>
  <c r="V34" i="12"/>
  <c r="V36" i="12"/>
  <c r="W37" i="12"/>
  <c r="V38" i="12"/>
  <c r="W39" i="12"/>
  <c r="V40" i="12"/>
  <c r="W41" i="12"/>
  <c r="V42" i="12"/>
  <c r="W43" i="12"/>
  <c r="D44" i="12"/>
  <c r="W45" i="12"/>
  <c r="V46" i="12"/>
  <c r="W47" i="12"/>
  <c r="L48" i="12"/>
  <c r="R48" i="12" s="1"/>
  <c r="M49" i="12"/>
  <c r="M48" i="12" s="1"/>
  <c r="W51" i="12"/>
  <c r="H54" i="12"/>
  <c r="N54" i="12"/>
  <c r="M55" i="12"/>
  <c r="H58" i="12"/>
  <c r="M59" i="12"/>
  <c r="V60" i="12"/>
  <c r="W61" i="12"/>
  <c r="V62" i="12"/>
  <c r="W64" i="12"/>
  <c r="X68" i="12"/>
  <c r="W22" i="12"/>
  <c r="X22" i="12"/>
  <c r="M54" i="12"/>
  <c r="AI78" i="11"/>
  <c r="AI81" i="11"/>
  <c r="AK81" i="11"/>
  <c r="AL81" i="11" s="1"/>
  <c r="AC92" i="11"/>
  <c r="AD92" i="11" s="1"/>
  <c r="W91" i="11"/>
  <c r="W90" i="11" s="1"/>
  <c r="Z91" i="11"/>
  <c r="Z90" i="11"/>
  <c r="AA91" i="11"/>
  <c r="AB91" i="11"/>
  <c r="AB90" i="11" s="1"/>
  <c r="AA90" i="11"/>
  <c r="Q71" i="11"/>
  <c r="V71" i="11"/>
  <c r="W71" i="11"/>
  <c r="Z71" i="11"/>
  <c r="AA71" i="11"/>
  <c r="AB71" i="11"/>
  <c r="AJ71" i="11"/>
  <c r="AO71" i="11"/>
  <c r="Q72" i="11"/>
  <c r="W72" i="11"/>
  <c r="Z72" i="11"/>
  <c r="AA72" i="11"/>
  <c r="AB72" i="11"/>
  <c r="AJ72" i="11"/>
  <c r="AO72" i="11"/>
  <c r="AQ15" i="11"/>
  <c r="AR15" i="11"/>
  <c r="Q69" i="11"/>
  <c r="Q68" i="11" s="1"/>
  <c r="W69" i="11"/>
  <c r="W68" i="11" s="1"/>
  <c r="Z69" i="11"/>
  <c r="Z68" i="11" s="1"/>
  <c r="AA69" i="11"/>
  <c r="AA68" i="11" s="1"/>
  <c r="AB69" i="11"/>
  <c r="AB68" i="11" s="1"/>
  <c r="AJ69" i="11"/>
  <c r="AJ68" i="11" s="1"/>
  <c r="AO69" i="11"/>
  <c r="AO68" i="11" s="1"/>
  <c r="L71" i="11"/>
  <c r="O16" i="11"/>
  <c r="Q16" i="11"/>
  <c r="W16" i="11"/>
  <c r="Z16" i="11"/>
  <c r="AA16" i="11"/>
  <c r="AB16" i="11"/>
  <c r="AO16" i="11"/>
  <c r="Q17" i="11"/>
  <c r="Z17" i="11"/>
  <c r="U59" i="11"/>
  <c r="T59" i="11"/>
  <c r="P61" i="11"/>
  <c r="P16" i="11" s="1"/>
  <c r="P60" i="11"/>
  <c r="X95" i="11"/>
  <c r="X96" i="11"/>
  <c r="Y96" i="11" s="1"/>
  <c r="X97" i="11"/>
  <c r="Y97" i="11" s="1"/>
  <c r="X98" i="11"/>
  <c r="Y98" i="11" s="1"/>
  <c r="X99" i="11"/>
  <c r="Y99" i="11" s="1"/>
  <c r="X88" i="11"/>
  <c r="Y88" i="11" s="1"/>
  <c r="X89" i="11"/>
  <c r="Y89" i="11" s="1"/>
  <c r="X92" i="11"/>
  <c r="Y92" i="11" s="1"/>
  <c r="X93" i="11"/>
  <c r="Y93" i="11" s="1"/>
  <c r="X94" i="11"/>
  <c r="Y94" i="11" s="1"/>
  <c r="X76" i="11"/>
  <c r="Y76" i="11" s="1"/>
  <c r="X78" i="11"/>
  <c r="Y78" i="11" s="1"/>
  <c r="X79" i="11"/>
  <c r="Y79" i="11" s="1"/>
  <c r="X80" i="11"/>
  <c r="Y80" i="11" s="1"/>
  <c r="X81" i="11"/>
  <c r="Y81" i="11" s="1"/>
  <c r="X82" i="11"/>
  <c r="Y82" i="11" s="1"/>
  <c r="X83" i="11"/>
  <c r="Y83" i="11" s="1"/>
  <c r="X84" i="11"/>
  <c r="Y84" i="11" s="1"/>
  <c r="X85" i="11"/>
  <c r="Y85" i="11" s="1"/>
  <c r="X86" i="11"/>
  <c r="X87" i="11"/>
  <c r="Y87" i="11" s="1"/>
  <c r="X54" i="11"/>
  <c r="Y54" i="11" s="1"/>
  <c r="X55" i="11"/>
  <c r="Y55" i="11" s="1"/>
  <c r="X56" i="11"/>
  <c r="Y56" i="11" s="1"/>
  <c r="X57" i="11"/>
  <c r="Y57" i="11" s="1"/>
  <c r="X58" i="11"/>
  <c r="Y58" i="11" s="1"/>
  <c r="X59" i="11"/>
  <c r="Y59" i="11" s="1"/>
  <c r="X60" i="11"/>
  <c r="Y60" i="11" s="1"/>
  <c r="X61" i="11"/>
  <c r="X62" i="11"/>
  <c r="Y62" i="11" s="1"/>
  <c r="X63" i="11"/>
  <c r="Y63" i="11" s="1"/>
  <c r="X64" i="11"/>
  <c r="Y64" i="11" s="1"/>
  <c r="X65" i="11"/>
  <c r="Y65" i="11" s="1"/>
  <c r="X66" i="11"/>
  <c r="Y66" i="11" s="1"/>
  <c r="X67" i="11"/>
  <c r="Y67" i="11" s="1"/>
  <c r="X45" i="11"/>
  <c r="Y45" i="11" s="1"/>
  <c r="X46" i="11"/>
  <c r="Y46" i="11" s="1"/>
  <c r="X47" i="11"/>
  <c r="Y47" i="11" s="1"/>
  <c r="Y49" i="11"/>
  <c r="X50" i="11"/>
  <c r="Y50" i="11" s="1"/>
  <c r="X51" i="11"/>
  <c r="Y51" i="11" s="1"/>
  <c r="X52" i="11"/>
  <c r="Y52" i="11" s="1"/>
  <c r="X53" i="11"/>
  <c r="Y53" i="11" s="1"/>
  <c r="X18" i="11"/>
  <c r="Y18" i="11" s="1"/>
  <c r="X19" i="11"/>
  <c r="Y19" i="11" s="1"/>
  <c r="X20" i="11"/>
  <c r="Y20" i="11" s="1"/>
  <c r="X21" i="11"/>
  <c r="Y21" i="11"/>
  <c r="X22" i="11"/>
  <c r="Y22" i="11"/>
  <c r="X24" i="11"/>
  <c r="Y24" i="11" s="1"/>
  <c r="X25" i="11"/>
  <c r="Y25" i="11" s="1"/>
  <c r="X26" i="11"/>
  <c r="Y26" i="11" s="1"/>
  <c r="X27" i="11"/>
  <c r="Y27" i="11" s="1"/>
  <c r="X28" i="11"/>
  <c r="Y28" i="11" s="1"/>
  <c r="X29" i="11"/>
  <c r="Y29" i="11" s="1"/>
  <c r="X30" i="11"/>
  <c r="Y30" i="11" s="1"/>
  <c r="X31" i="11"/>
  <c r="Y31" i="11" s="1"/>
  <c r="X32" i="11"/>
  <c r="Y32" i="11" s="1"/>
  <c r="X33" i="11"/>
  <c r="Y33" i="11" s="1"/>
  <c r="X34" i="11"/>
  <c r="Y34" i="11" s="1"/>
  <c r="X35" i="11"/>
  <c r="Y35" i="11" s="1"/>
  <c r="X36" i="11"/>
  <c r="Y36" i="11" s="1"/>
  <c r="X37" i="11"/>
  <c r="Y37" i="11" s="1"/>
  <c r="X38" i="11"/>
  <c r="Y38" i="11" s="1"/>
  <c r="X39" i="11"/>
  <c r="Y39" i="11" s="1"/>
  <c r="X40" i="11"/>
  <c r="Y40" i="11"/>
  <c r="X42" i="11"/>
  <c r="Y42" i="11" s="1"/>
  <c r="X43" i="11"/>
  <c r="Y43" i="11" s="1"/>
  <c r="Y44" i="11"/>
  <c r="AI44" i="11"/>
  <c r="AI49" i="11"/>
  <c r="Y61" i="11"/>
  <c r="Y16" i="11" s="1"/>
  <c r="X16" i="11"/>
  <c r="Y95" i="11"/>
  <c r="X91" i="11"/>
  <c r="X90" i="11" s="1"/>
  <c r="Z101" i="11"/>
  <c r="Q101" i="11"/>
  <c r="AK99" i="11"/>
  <c r="AL99" i="11" s="1"/>
  <c r="AC99" i="11"/>
  <c r="AD99" i="11" s="1"/>
  <c r="V99" i="11"/>
  <c r="R99" i="11"/>
  <c r="S99" i="11" s="1"/>
  <c r="J99" i="11"/>
  <c r="K99" i="11" s="1"/>
  <c r="L99" i="11" s="1"/>
  <c r="G99" i="11"/>
  <c r="AK98" i="11"/>
  <c r="AL98" i="11" s="1"/>
  <c r="AC98" i="11"/>
  <c r="AD98" i="11" s="1"/>
  <c r="V98" i="11"/>
  <c r="R98" i="11"/>
  <c r="S98" i="11" s="1"/>
  <c r="J98" i="11"/>
  <c r="K98" i="11" s="1"/>
  <c r="G98" i="11"/>
  <c r="AP98" i="11"/>
  <c r="AK97" i="11"/>
  <c r="AL97" i="11" s="1"/>
  <c r="AC97" i="11"/>
  <c r="AD97" i="11" s="1"/>
  <c r="AE97" i="11" s="1"/>
  <c r="AF97" i="11" s="1"/>
  <c r="V97" i="11"/>
  <c r="R97" i="11"/>
  <c r="S97" i="11" s="1"/>
  <c r="J97" i="11"/>
  <c r="K97" i="11" s="1"/>
  <c r="G97" i="11"/>
  <c r="AP97" i="11" s="1"/>
  <c r="AO96" i="11"/>
  <c r="AO91" i="11"/>
  <c r="AO90" i="11" s="1"/>
  <c r="AJ96" i="11"/>
  <c r="AK96" i="11" s="1"/>
  <c r="AL96" i="11" s="1"/>
  <c r="AC96" i="11"/>
  <c r="AD96" i="11" s="1"/>
  <c r="AE96" i="11" s="1"/>
  <c r="V96" i="11"/>
  <c r="R96" i="11"/>
  <c r="S96" i="11" s="1"/>
  <c r="J96" i="11"/>
  <c r="K96" i="11" s="1"/>
  <c r="G96" i="11"/>
  <c r="AP96" i="11" s="1"/>
  <c r="AK95" i="11"/>
  <c r="AL95" i="11" s="1"/>
  <c r="AC95" i="11"/>
  <c r="AD95" i="11" s="1"/>
  <c r="V95" i="11"/>
  <c r="Q95" i="11"/>
  <c r="Q91" i="11"/>
  <c r="Q90" i="11" s="1"/>
  <c r="I95" i="11"/>
  <c r="H95" i="11"/>
  <c r="G95" i="11"/>
  <c r="AP95" i="11" s="1"/>
  <c r="AK94" i="11"/>
  <c r="AL94" i="11" s="1"/>
  <c r="AC94" i="11"/>
  <c r="AD94" i="11" s="1"/>
  <c r="AE94" i="11" s="1"/>
  <c r="AF94" i="11" s="1"/>
  <c r="V94" i="11"/>
  <c r="R94" i="11"/>
  <c r="J94" i="11"/>
  <c r="K94" i="11" s="1"/>
  <c r="N94" i="11" s="1"/>
  <c r="O94" i="11" s="1"/>
  <c r="P94" i="11" s="1"/>
  <c r="G94" i="11"/>
  <c r="AJ93" i="11"/>
  <c r="AC93" i="11"/>
  <c r="V93" i="11"/>
  <c r="R93" i="11"/>
  <c r="S93" i="11" s="1"/>
  <c r="J93" i="11"/>
  <c r="K93" i="11" s="1"/>
  <c r="N93" i="11" s="1"/>
  <c r="O93" i="11" s="1"/>
  <c r="P93" i="11" s="1"/>
  <c r="G93" i="11"/>
  <c r="AK92" i="11"/>
  <c r="AL92" i="11" s="1"/>
  <c r="V92" i="11"/>
  <c r="R92" i="11"/>
  <c r="S92" i="11" s="1"/>
  <c r="J92" i="11"/>
  <c r="K92" i="11" s="1"/>
  <c r="G92" i="11"/>
  <c r="I91" i="11"/>
  <c r="J91" i="11" s="1"/>
  <c r="H91" i="11"/>
  <c r="G91" i="11" s="1"/>
  <c r="I90" i="11"/>
  <c r="AK89" i="11"/>
  <c r="AL89" i="11" s="1"/>
  <c r="AC89" i="11"/>
  <c r="AD89" i="11" s="1"/>
  <c r="AG89" i="11" s="1"/>
  <c r="AH89" i="11" s="1"/>
  <c r="AI89" i="11" s="1"/>
  <c r="R89" i="11"/>
  <c r="S89" i="11" s="1"/>
  <c r="J89" i="11"/>
  <c r="K89" i="11" s="1"/>
  <c r="N89" i="11" s="1"/>
  <c r="O89" i="11" s="1"/>
  <c r="P89" i="11" s="1"/>
  <c r="G89" i="11"/>
  <c r="AK88" i="11"/>
  <c r="AL88" i="11" s="1"/>
  <c r="AC88" i="11"/>
  <c r="AD88" i="11" s="1"/>
  <c r="AG88" i="11" s="1"/>
  <c r="AH88" i="11" s="1"/>
  <c r="AI88" i="11" s="1"/>
  <c r="R88" i="11"/>
  <c r="S88" i="11" s="1"/>
  <c r="J88" i="11"/>
  <c r="K88" i="11" s="1"/>
  <c r="G88" i="11"/>
  <c r="AK87" i="11"/>
  <c r="AL87" i="11" s="1"/>
  <c r="AC87" i="11"/>
  <c r="AD87" i="11" s="1"/>
  <c r="R87" i="11"/>
  <c r="S87" i="11" s="1"/>
  <c r="J87" i="11"/>
  <c r="K87" i="11" s="1"/>
  <c r="G87" i="11"/>
  <c r="AP87" i="11" s="1"/>
  <c r="AK86" i="11"/>
  <c r="AC86" i="11"/>
  <c r="AD86" i="11" s="1"/>
  <c r="R86" i="11"/>
  <c r="S86" i="11" s="1"/>
  <c r="S71" i="11" s="1"/>
  <c r="J86" i="11"/>
  <c r="K86" i="11" s="1"/>
  <c r="G86" i="11"/>
  <c r="AP86" i="11" s="1"/>
  <c r="AP71" i="11" s="1"/>
  <c r="AK85" i="11"/>
  <c r="AL85" i="11" s="1"/>
  <c r="AC85" i="11"/>
  <c r="AD85" i="11" s="1"/>
  <c r="AG85" i="11" s="1"/>
  <c r="AH85" i="11" s="1"/>
  <c r="AI85" i="11" s="1"/>
  <c r="R85" i="11"/>
  <c r="S85" i="11" s="1"/>
  <c r="J85" i="11"/>
  <c r="K85" i="11" s="1"/>
  <c r="N85" i="11" s="1"/>
  <c r="O85" i="11" s="1"/>
  <c r="P85" i="11" s="1"/>
  <c r="H85" i="11"/>
  <c r="G85" i="11"/>
  <c r="AP85" i="11" s="1"/>
  <c r="AO84" i="11"/>
  <c r="AJ84" i="11"/>
  <c r="AK84" i="11" s="1"/>
  <c r="AL84" i="11" s="1"/>
  <c r="AC84" i="11"/>
  <c r="AD84" i="11" s="1"/>
  <c r="V84" i="11"/>
  <c r="R84" i="11"/>
  <c r="S84" i="11" s="1"/>
  <c r="J84" i="11"/>
  <c r="K84" i="11" s="1"/>
  <c r="G84" i="11"/>
  <c r="AK83" i="11"/>
  <c r="AL83" i="11" s="1"/>
  <c r="AC83" i="11"/>
  <c r="AD83" i="11" s="1"/>
  <c r="AE83" i="11" s="1"/>
  <c r="V83" i="11"/>
  <c r="R83" i="11"/>
  <c r="S83" i="11" s="1"/>
  <c r="J83" i="11"/>
  <c r="K83" i="11" s="1"/>
  <c r="N83" i="11" s="1"/>
  <c r="O83" i="11" s="1"/>
  <c r="P83" i="11" s="1"/>
  <c r="G83" i="11"/>
  <c r="AK82" i="11"/>
  <c r="AL82" i="11" s="1"/>
  <c r="AC82" i="11"/>
  <c r="AD82" i="11" s="1"/>
  <c r="V82" i="11"/>
  <c r="R82" i="11"/>
  <c r="S82" i="11" s="1"/>
  <c r="J82" i="11"/>
  <c r="K82" i="11" s="1"/>
  <c r="G82" i="11"/>
  <c r="AC81" i="11"/>
  <c r="AD81" i="11" s="1"/>
  <c r="AE81" i="11" s="1"/>
  <c r="AF81" i="11" s="1"/>
  <c r="V81" i="11"/>
  <c r="R81" i="11"/>
  <c r="S81" i="11" s="1"/>
  <c r="J81" i="11"/>
  <c r="K81" i="11" s="1"/>
  <c r="N81" i="11" s="1"/>
  <c r="O81" i="11" s="1"/>
  <c r="P81" i="11" s="1"/>
  <c r="G81" i="11"/>
  <c r="AP81" i="11" s="1"/>
  <c r="AK80" i="11"/>
  <c r="AL80" i="11" s="1"/>
  <c r="AC80" i="11"/>
  <c r="AD80" i="11" s="1"/>
  <c r="V80" i="11"/>
  <c r="R80" i="11"/>
  <c r="S80" i="11" s="1"/>
  <c r="J80" i="11"/>
  <c r="K80" i="11" s="1"/>
  <c r="N80" i="11" s="1"/>
  <c r="O80" i="11" s="1"/>
  <c r="P80" i="11" s="1"/>
  <c r="G80" i="11"/>
  <c r="AK79" i="11"/>
  <c r="AL79" i="11" s="1"/>
  <c r="AC79" i="11"/>
  <c r="AD79" i="11" s="1"/>
  <c r="AE79" i="11" s="1"/>
  <c r="V79" i="11"/>
  <c r="R79" i="11"/>
  <c r="S79" i="11" s="1"/>
  <c r="J79" i="11"/>
  <c r="K79" i="11" s="1"/>
  <c r="N79" i="11" s="1"/>
  <c r="O79" i="11" s="1"/>
  <c r="P79" i="11" s="1"/>
  <c r="G79" i="11"/>
  <c r="AK78" i="11"/>
  <c r="AL78" i="11" s="1"/>
  <c r="AC78" i="11"/>
  <c r="AD78" i="11" s="1"/>
  <c r="V78" i="11"/>
  <c r="R78" i="11"/>
  <c r="S78" i="11" s="1"/>
  <c r="J78" i="11"/>
  <c r="K78" i="11" s="1"/>
  <c r="N78" i="11" s="1"/>
  <c r="O78" i="11" s="1"/>
  <c r="P78" i="11" s="1"/>
  <c r="G78" i="11"/>
  <c r="AK77" i="11"/>
  <c r="AL77" i="11" s="1"/>
  <c r="AC77" i="11"/>
  <c r="AD77" i="11" s="1"/>
  <c r="AE77" i="11" s="1"/>
  <c r="AF77" i="11" s="1"/>
  <c r="V77" i="11"/>
  <c r="AG77" i="11" s="1"/>
  <c r="R77" i="11"/>
  <c r="S77" i="11" s="1"/>
  <c r="J77" i="11"/>
  <c r="K77" i="11" s="1"/>
  <c r="L77" i="11" s="1"/>
  <c r="M77" i="11" s="1"/>
  <c r="G77" i="11"/>
  <c r="AK76" i="11"/>
  <c r="AL76" i="11" s="1"/>
  <c r="AC76" i="11"/>
  <c r="AD76" i="11"/>
  <c r="V76" i="11"/>
  <c r="R76" i="11"/>
  <c r="S76" i="11" s="1"/>
  <c r="J76" i="11"/>
  <c r="K76" i="11"/>
  <c r="N76" i="11" s="1"/>
  <c r="O76" i="11" s="1"/>
  <c r="G76" i="11"/>
  <c r="AP76" i="11" s="1"/>
  <c r="AK75" i="11"/>
  <c r="AL75" i="11" s="1"/>
  <c r="AC75" i="11"/>
  <c r="AD75" i="11" s="1"/>
  <c r="AE75" i="11" s="1"/>
  <c r="AF75" i="11" s="1"/>
  <c r="V75" i="11"/>
  <c r="V69" i="11" s="1"/>
  <c r="V68" i="11" s="1"/>
  <c r="R75" i="11"/>
  <c r="S75" i="11"/>
  <c r="J75" i="11"/>
  <c r="K75" i="11"/>
  <c r="H75" i="11"/>
  <c r="AK74" i="11"/>
  <c r="AL74" i="11" s="1"/>
  <c r="AL72" i="11" s="1"/>
  <c r="AC74" i="11"/>
  <c r="AD74" i="11" s="1"/>
  <c r="V74" i="11"/>
  <c r="V72" i="11" s="1"/>
  <c r="R74" i="11"/>
  <c r="J74" i="11"/>
  <c r="K74" i="11" s="1"/>
  <c r="L74" i="11" s="1"/>
  <c r="G74" i="11"/>
  <c r="AP74" i="11"/>
  <c r="AK73" i="11"/>
  <c r="AC73" i="11"/>
  <c r="AC69" i="11" s="1"/>
  <c r="AC68" i="11" s="1"/>
  <c r="V73" i="11"/>
  <c r="R73" i="11"/>
  <c r="J73" i="11"/>
  <c r="K73" i="11" s="1"/>
  <c r="N73" i="11" s="1"/>
  <c r="O73" i="11" s="1"/>
  <c r="P73" i="11" s="1"/>
  <c r="G73" i="11"/>
  <c r="AP73" i="11" s="1"/>
  <c r="I72" i="11"/>
  <c r="J72" i="11" s="1"/>
  <c r="H72" i="11"/>
  <c r="G72" i="11" s="1"/>
  <c r="I71" i="11"/>
  <c r="J71" i="11" s="1"/>
  <c r="H71" i="11"/>
  <c r="G71" i="11" s="1"/>
  <c r="AO70" i="11"/>
  <c r="AO101" i="11" s="1"/>
  <c r="AJ70" i="11"/>
  <c r="AB70" i="11"/>
  <c r="AB101" i="11" s="1"/>
  <c r="AA70" i="11"/>
  <c r="W70" i="11"/>
  <c r="R70" i="11"/>
  <c r="I70" i="11"/>
  <c r="I101" i="11" s="1"/>
  <c r="H70" i="11"/>
  <c r="H101" i="11" s="1"/>
  <c r="I69" i="11"/>
  <c r="J69" i="11" s="1"/>
  <c r="H69" i="11"/>
  <c r="AO67" i="11"/>
  <c r="AJ67" i="11"/>
  <c r="AK67" i="11" s="1"/>
  <c r="AL67" i="11" s="1"/>
  <c r="AC67" i="11"/>
  <c r="AD67" i="11" s="1"/>
  <c r="V67" i="11"/>
  <c r="R67" i="11"/>
  <c r="S67" i="11" s="1"/>
  <c r="J67" i="11"/>
  <c r="K67" i="11" s="1"/>
  <c r="G67" i="11"/>
  <c r="AJ66" i="11"/>
  <c r="AK66" i="11" s="1"/>
  <c r="AL66" i="11" s="1"/>
  <c r="AC66" i="11"/>
  <c r="AD66" i="11" s="1"/>
  <c r="V66" i="11"/>
  <c r="R66" i="11"/>
  <c r="S66" i="11" s="1"/>
  <c r="J66" i="11"/>
  <c r="K66" i="11" s="1"/>
  <c r="G66" i="11"/>
  <c r="AP66" i="11" s="1"/>
  <c r="AJ65" i="11"/>
  <c r="AK65" i="11" s="1"/>
  <c r="AL65" i="11" s="1"/>
  <c r="AC65" i="11"/>
  <c r="AD65" i="11" s="1"/>
  <c r="V65" i="11"/>
  <c r="R65" i="11"/>
  <c r="S65" i="11" s="1"/>
  <c r="J65" i="11"/>
  <c r="K65" i="11" s="1"/>
  <c r="G65" i="11"/>
  <c r="AP65" i="11" s="1"/>
  <c r="AJ64" i="11"/>
  <c r="AK64" i="11" s="1"/>
  <c r="AL64" i="11" s="1"/>
  <c r="AC64" i="11"/>
  <c r="AD64" i="11" s="1"/>
  <c r="V64" i="11"/>
  <c r="R64" i="11"/>
  <c r="S64" i="11" s="1"/>
  <c r="J64" i="11"/>
  <c r="K64" i="11" s="1"/>
  <c r="N64" i="11" s="1"/>
  <c r="O64" i="11" s="1"/>
  <c r="P64" i="11" s="1"/>
  <c r="G64" i="11"/>
  <c r="AP64" i="11" s="1"/>
  <c r="AJ63" i="11"/>
  <c r="AK63" i="11" s="1"/>
  <c r="AL63" i="11" s="1"/>
  <c r="AC63" i="11"/>
  <c r="AD63" i="11" s="1"/>
  <c r="V63" i="11"/>
  <c r="R63" i="11"/>
  <c r="S63" i="11" s="1"/>
  <c r="J63" i="11"/>
  <c r="K63" i="11" s="1"/>
  <c r="G63" i="11"/>
  <c r="AO62" i="11"/>
  <c r="AJ62" i="11"/>
  <c r="AK62" i="11" s="1"/>
  <c r="AL62" i="11" s="1"/>
  <c r="AC62" i="11"/>
  <c r="AD62" i="11" s="1"/>
  <c r="AE62" i="11" s="1"/>
  <c r="AF62" i="11" s="1"/>
  <c r="V62" i="11"/>
  <c r="R62" i="11"/>
  <c r="S62" i="11" s="1"/>
  <c r="J62" i="11"/>
  <c r="K62" i="11" s="1"/>
  <c r="G62" i="11"/>
  <c r="AP62" i="11" s="1"/>
  <c r="AJ61" i="11"/>
  <c r="AC61" i="11"/>
  <c r="AD61" i="11" s="1"/>
  <c r="V61" i="11"/>
  <c r="R61" i="11"/>
  <c r="J61" i="11"/>
  <c r="K61" i="11" s="1"/>
  <c r="K16" i="11" s="1"/>
  <c r="G61" i="11"/>
  <c r="AO60" i="11"/>
  <c r="AJ60" i="11"/>
  <c r="AK60" i="11" s="1"/>
  <c r="AL60" i="11" s="1"/>
  <c r="AC60" i="11"/>
  <c r="AD60" i="11" s="1"/>
  <c r="AE60" i="11" s="1"/>
  <c r="AF60" i="11" s="1"/>
  <c r="V60" i="11"/>
  <c r="R60" i="11"/>
  <c r="S60" i="11" s="1"/>
  <c r="J60" i="11"/>
  <c r="K60" i="11" s="1"/>
  <c r="N60" i="11" s="1"/>
  <c r="G60" i="11"/>
  <c r="AP60" i="11" s="1"/>
  <c r="AO59" i="11"/>
  <c r="AO14" i="11" s="1"/>
  <c r="AO13" i="11" s="1"/>
  <c r="AO100" i="11" s="1"/>
  <c r="AJ59" i="11"/>
  <c r="AK59" i="11" s="1"/>
  <c r="AL59" i="11" s="1"/>
  <c r="AC59" i="11"/>
  <c r="AD59" i="11" s="1"/>
  <c r="AG59" i="11" s="1"/>
  <c r="AH59" i="11" s="1"/>
  <c r="V59" i="11"/>
  <c r="AP59" i="11" s="1"/>
  <c r="R59" i="11"/>
  <c r="S59" i="11" s="1"/>
  <c r="J59" i="11"/>
  <c r="K59" i="11" s="1"/>
  <c r="AJ58" i="11"/>
  <c r="AK58" i="11" s="1"/>
  <c r="AL58" i="11" s="1"/>
  <c r="AC58" i="11"/>
  <c r="AD58" i="11" s="1"/>
  <c r="V58" i="11"/>
  <c r="R58" i="11"/>
  <c r="S58" i="11" s="1"/>
  <c r="J58" i="11"/>
  <c r="K58" i="11" s="1"/>
  <c r="G58" i="11"/>
  <c r="AJ57" i="11"/>
  <c r="AK57" i="11" s="1"/>
  <c r="AC57" i="11"/>
  <c r="AD57" i="11" s="1"/>
  <c r="AE57" i="11" s="1"/>
  <c r="V57" i="11"/>
  <c r="AG57" i="11" s="1"/>
  <c r="R57" i="11"/>
  <c r="S57" i="11" s="1"/>
  <c r="J57" i="11"/>
  <c r="K57" i="11" s="1"/>
  <c r="N57" i="11" s="1"/>
  <c r="O57" i="11" s="1"/>
  <c r="P57" i="11" s="1"/>
  <c r="G57" i="11"/>
  <c r="AP57" i="11"/>
  <c r="AJ56" i="11"/>
  <c r="AK56" i="11"/>
  <c r="AL56" i="11" s="1"/>
  <c r="AC56" i="11"/>
  <c r="AD56" i="11" s="1"/>
  <c r="V56" i="11"/>
  <c r="R56" i="11"/>
  <c r="S56" i="11"/>
  <c r="J56" i="11"/>
  <c r="K56" i="11" s="1"/>
  <c r="N56" i="11" s="1"/>
  <c r="O56" i="11" s="1"/>
  <c r="P56" i="11" s="1"/>
  <c r="G56" i="11"/>
  <c r="AP56" i="11" s="1"/>
  <c r="AK55" i="11"/>
  <c r="AL55" i="11" s="1"/>
  <c r="AC55" i="11"/>
  <c r="AD55" i="11" s="1"/>
  <c r="V55" i="11"/>
  <c r="R55" i="11"/>
  <c r="S55" i="11" s="1"/>
  <c r="J55" i="11"/>
  <c r="K55" i="11" s="1"/>
  <c r="G55" i="11"/>
  <c r="AP55" i="11" s="1"/>
  <c r="AK54" i="11"/>
  <c r="AL54" i="11" s="1"/>
  <c r="AC54" i="11"/>
  <c r="AD54" i="11" s="1"/>
  <c r="AE54" i="11" s="1"/>
  <c r="AF54" i="11" s="1"/>
  <c r="V54" i="11"/>
  <c r="R54" i="11"/>
  <c r="S54" i="11" s="1"/>
  <c r="J54" i="11"/>
  <c r="K54" i="11" s="1"/>
  <c r="N54" i="11" s="1"/>
  <c r="O54" i="11" s="1"/>
  <c r="P54" i="11" s="1"/>
  <c r="G54" i="11"/>
  <c r="AP54" i="11" s="1"/>
  <c r="AK53" i="11"/>
  <c r="AL53" i="11" s="1"/>
  <c r="AC53" i="11"/>
  <c r="AD53" i="11" s="1"/>
  <c r="V53" i="11"/>
  <c r="R53" i="11"/>
  <c r="S53" i="11" s="1"/>
  <c r="J53" i="11"/>
  <c r="K53" i="11" s="1"/>
  <c r="G53" i="11"/>
  <c r="AJ52" i="11"/>
  <c r="AK52" i="11" s="1"/>
  <c r="AC52" i="11"/>
  <c r="AD52" i="11" s="1"/>
  <c r="V52" i="11"/>
  <c r="R52" i="11"/>
  <c r="S52" i="11" s="1"/>
  <c r="J52" i="11"/>
  <c r="K52" i="11" s="1"/>
  <c r="G52" i="11"/>
  <c r="AK51" i="11"/>
  <c r="AL51" i="11" s="1"/>
  <c r="AC51" i="11"/>
  <c r="AD51" i="11" s="1"/>
  <c r="V51" i="11"/>
  <c r="R51" i="11"/>
  <c r="S51" i="11" s="1"/>
  <c r="J51" i="11"/>
  <c r="K51" i="11" s="1"/>
  <c r="L51" i="11" s="1"/>
  <c r="H51" i="11"/>
  <c r="AK50" i="11"/>
  <c r="AL50" i="11" s="1"/>
  <c r="AC50" i="11"/>
  <c r="AD50" i="11" s="1"/>
  <c r="V50" i="11"/>
  <c r="R50" i="11"/>
  <c r="S50" i="11" s="1"/>
  <c r="J50" i="11"/>
  <c r="K50" i="11" s="1"/>
  <c r="N50" i="11" s="1"/>
  <c r="O50" i="11" s="1"/>
  <c r="P50" i="11" s="1"/>
  <c r="G50" i="11"/>
  <c r="AO49" i="11"/>
  <c r="AK49" i="11"/>
  <c r="AL49" i="11" s="1"/>
  <c r="AC49" i="11"/>
  <c r="AD49" i="11" s="1"/>
  <c r="AE49" i="11" s="1"/>
  <c r="AM49" i="11" s="1"/>
  <c r="Z49" i="11"/>
  <c r="W49" i="11"/>
  <c r="V49" i="11" s="1"/>
  <c r="AG49" i="11" s="1"/>
  <c r="R49" i="11"/>
  <c r="S49" i="11" s="1"/>
  <c r="J49" i="11"/>
  <c r="K49" i="11" s="1"/>
  <c r="G49" i="11"/>
  <c r="AK48" i="11"/>
  <c r="AL48" i="11" s="1"/>
  <c r="AC48" i="11"/>
  <c r="AD48" i="11" s="1"/>
  <c r="V48" i="11"/>
  <c r="AG48" i="11" s="1"/>
  <c r="R48" i="11"/>
  <c r="S48" i="11"/>
  <c r="J48" i="11"/>
  <c r="K48" i="11"/>
  <c r="N48" i="11" s="1"/>
  <c r="O48" i="11" s="1"/>
  <c r="P48" i="11" s="1"/>
  <c r="G48" i="11"/>
  <c r="AP48" i="11"/>
  <c r="AK47" i="11"/>
  <c r="AL47" i="11"/>
  <c r="AC47" i="11"/>
  <c r="AD47" i="11" s="1"/>
  <c r="AE47" i="11" s="1"/>
  <c r="V47" i="11"/>
  <c r="AG47" i="11" s="1"/>
  <c r="AH47" i="11" s="1"/>
  <c r="R47" i="11"/>
  <c r="S47" i="11" s="1"/>
  <c r="J47" i="11"/>
  <c r="K47" i="11" s="1"/>
  <c r="N47" i="11" s="1"/>
  <c r="O47" i="11" s="1"/>
  <c r="P47" i="11" s="1"/>
  <c r="G47" i="11"/>
  <c r="AK46" i="11"/>
  <c r="AL46" i="11" s="1"/>
  <c r="AC46" i="11"/>
  <c r="AD46" i="11" s="1"/>
  <c r="V46" i="11"/>
  <c r="R46" i="11"/>
  <c r="S46" i="11" s="1"/>
  <c r="J46" i="11"/>
  <c r="K46" i="11" s="1"/>
  <c r="G46" i="11"/>
  <c r="AK45" i="11"/>
  <c r="AL45" i="11" s="1"/>
  <c r="AC45" i="11"/>
  <c r="AD45" i="11" s="1"/>
  <c r="AE45" i="11" s="1"/>
  <c r="V45" i="11"/>
  <c r="R45" i="11"/>
  <c r="S45" i="11" s="1"/>
  <c r="J45" i="11"/>
  <c r="K45" i="11" s="1"/>
  <c r="N45" i="11" s="1"/>
  <c r="O45" i="11" s="1"/>
  <c r="P45" i="11" s="1"/>
  <c r="G45" i="11"/>
  <c r="AK44" i="11"/>
  <c r="AL44" i="11" s="1"/>
  <c r="AC44" i="11"/>
  <c r="AD44" i="11"/>
  <c r="V44" i="11"/>
  <c r="R44" i="11"/>
  <c r="J44" i="11"/>
  <c r="K44" i="11" s="1"/>
  <c r="L44" i="11" s="1"/>
  <c r="H44" i="11"/>
  <c r="G44" i="11" s="1"/>
  <c r="AP44" i="11" s="1"/>
  <c r="AK43" i="11"/>
  <c r="AL43" i="11" s="1"/>
  <c r="AC43" i="11"/>
  <c r="AD43" i="11" s="1"/>
  <c r="AE43" i="11" s="1"/>
  <c r="V43" i="11"/>
  <c r="R43" i="11"/>
  <c r="S43" i="11" s="1"/>
  <c r="J43" i="11"/>
  <c r="K43" i="11" s="1"/>
  <c r="G43" i="11"/>
  <c r="AP43" i="11" s="1"/>
  <c r="AK42" i="11"/>
  <c r="AL42" i="11" s="1"/>
  <c r="AC42" i="11"/>
  <c r="AD42" i="11" s="1"/>
  <c r="AE42" i="11" s="1"/>
  <c r="V42" i="11"/>
  <c r="Q42" i="11"/>
  <c r="R42" i="11" s="1"/>
  <c r="S42" i="11" s="1"/>
  <c r="J42" i="11"/>
  <c r="K42" i="11" s="1"/>
  <c r="G42" i="11"/>
  <c r="AO41" i="11"/>
  <c r="AO17" i="11" s="1"/>
  <c r="AB41" i="11"/>
  <c r="AJ41" i="11" s="1"/>
  <c r="AJ17" i="11" s="1"/>
  <c r="AJ102" i="11" s="1"/>
  <c r="AA41" i="11"/>
  <c r="AA17" i="11" s="1"/>
  <c r="W41" i="11"/>
  <c r="R41" i="11"/>
  <c r="J41" i="11"/>
  <c r="K41" i="11" s="1"/>
  <c r="N41" i="11" s="1"/>
  <c r="O41" i="11" s="1"/>
  <c r="P41" i="11" s="1"/>
  <c r="H41" i="11"/>
  <c r="G41" i="11"/>
  <c r="AK40" i="11"/>
  <c r="AL40" i="11" s="1"/>
  <c r="AC40" i="11"/>
  <c r="AD40" i="11" s="1"/>
  <c r="V40" i="11"/>
  <c r="R40" i="11"/>
  <c r="S40" i="11" s="1"/>
  <c r="J40" i="11"/>
  <c r="K40" i="11" s="1"/>
  <c r="G40" i="11"/>
  <c r="AK39" i="11"/>
  <c r="AL39" i="11" s="1"/>
  <c r="AC39" i="11"/>
  <c r="AD39" i="11" s="1"/>
  <c r="V39" i="11"/>
  <c r="R39" i="11"/>
  <c r="S39" i="11" s="1"/>
  <c r="J39" i="11"/>
  <c r="K39" i="11" s="1"/>
  <c r="G39" i="11"/>
  <c r="AP39" i="11" s="1"/>
  <c r="AK38" i="11"/>
  <c r="AL38" i="11" s="1"/>
  <c r="AC38" i="11"/>
  <c r="AD38" i="11" s="1"/>
  <c r="V38" i="11"/>
  <c r="Q38" i="11"/>
  <c r="R38" i="11" s="1"/>
  <c r="S38" i="11" s="1"/>
  <c r="I38" i="11"/>
  <c r="J38" i="11"/>
  <c r="H38" i="11"/>
  <c r="G38" i="11"/>
  <c r="AK37" i="11"/>
  <c r="AL37" i="11" s="1"/>
  <c r="AC37" i="11"/>
  <c r="AD37" i="11" s="1"/>
  <c r="V37" i="11"/>
  <c r="R37" i="11"/>
  <c r="S37" i="11" s="1"/>
  <c r="J37" i="11"/>
  <c r="K37" i="11" s="1"/>
  <c r="G37" i="11"/>
  <c r="AK36" i="11"/>
  <c r="AL36" i="11" s="1"/>
  <c r="AC36" i="11"/>
  <c r="AD36" i="11" s="1"/>
  <c r="AE36" i="11" s="1"/>
  <c r="V36" i="11"/>
  <c r="AG36" i="11" s="1"/>
  <c r="AH36" i="11" s="1"/>
  <c r="R36" i="11"/>
  <c r="S36" i="11" s="1"/>
  <c r="J36" i="11"/>
  <c r="K36" i="11" s="1"/>
  <c r="N36" i="11" s="1"/>
  <c r="O36" i="11" s="1"/>
  <c r="P36" i="11" s="1"/>
  <c r="G36" i="11"/>
  <c r="AK35" i="11"/>
  <c r="AL35" i="11" s="1"/>
  <c r="AC35" i="11"/>
  <c r="AD35" i="11"/>
  <c r="V35" i="11"/>
  <c r="R35" i="11"/>
  <c r="S35" i="11" s="1"/>
  <c r="J35" i="11"/>
  <c r="K35" i="11" s="1"/>
  <c r="G35" i="11"/>
  <c r="AP35" i="11" s="1"/>
  <c r="AK34" i="11"/>
  <c r="AL34" i="11" s="1"/>
  <c r="AC34" i="11"/>
  <c r="AD34" i="11" s="1"/>
  <c r="AE34" i="11" s="1"/>
  <c r="AF34" i="11" s="1"/>
  <c r="V34" i="11"/>
  <c r="R34" i="11"/>
  <c r="S34" i="11" s="1"/>
  <c r="J34" i="11"/>
  <c r="K34" i="11" s="1"/>
  <c r="G34" i="11"/>
  <c r="AP34" i="11" s="1"/>
  <c r="AK33" i="11"/>
  <c r="AL33" i="11" s="1"/>
  <c r="AC33" i="11"/>
  <c r="AD33" i="11" s="1"/>
  <c r="V33" i="11"/>
  <c r="R33" i="11"/>
  <c r="S33" i="11" s="1"/>
  <c r="J33" i="11"/>
  <c r="K33" i="11" s="1"/>
  <c r="N33" i="11" s="1"/>
  <c r="O33" i="11" s="1"/>
  <c r="P33" i="11" s="1"/>
  <c r="G33" i="11"/>
  <c r="AP33" i="11" s="1"/>
  <c r="AK32" i="11"/>
  <c r="AL32" i="11" s="1"/>
  <c r="AC32" i="11"/>
  <c r="AD32" i="11" s="1"/>
  <c r="AE32" i="11" s="1"/>
  <c r="AF32" i="11" s="1"/>
  <c r="V32" i="11"/>
  <c r="R32" i="11"/>
  <c r="S32" i="11" s="1"/>
  <c r="J32" i="11"/>
  <c r="K32" i="11" s="1"/>
  <c r="N32" i="11" s="1"/>
  <c r="O32" i="11" s="1"/>
  <c r="P32" i="11" s="1"/>
  <c r="G32" i="11"/>
  <c r="AP32" i="11" s="1"/>
  <c r="AK31" i="11"/>
  <c r="AL31" i="11" s="1"/>
  <c r="AC31" i="11"/>
  <c r="AD31" i="11" s="1"/>
  <c r="V31" i="11"/>
  <c r="AG31" i="11" s="1"/>
  <c r="AH31" i="11" s="1"/>
  <c r="AI31" i="11" s="1"/>
  <c r="R31" i="11"/>
  <c r="S31" i="11" s="1"/>
  <c r="J31" i="11"/>
  <c r="K31" i="11" s="1"/>
  <c r="G31" i="11"/>
  <c r="AP31" i="11"/>
  <c r="AK30" i="11"/>
  <c r="AL30" i="11"/>
  <c r="AC30" i="11"/>
  <c r="AD30" i="11" s="1"/>
  <c r="AE30" i="11" s="1"/>
  <c r="V30" i="11"/>
  <c r="AG30" i="11" s="1"/>
  <c r="AH30" i="11" s="1"/>
  <c r="R30" i="11"/>
  <c r="S30" i="11" s="1"/>
  <c r="J30" i="11"/>
  <c r="K30" i="11" s="1"/>
  <c r="L30" i="11" s="1"/>
  <c r="G30" i="11"/>
  <c r="AK29" i="11"/>
  <c r="AL29" i="11" s="1"/>
  <c r="AC29" i="11"/>
  <c r="AD29" i="11" s="1"/>
  <c r="V29" i="11"/>
  <c r="R29" i="11"/>
  <c r="S29" i="11" s="1"/>
  <c r="J29" i="11"/>
  <c r="K29" i="11" s="1"/>
  <c r="N29" i="11" s="1"/>
  <c r="O29" i="11" s="1"/>
  <c r="P29" i="11" s="1"/>
  <c r="G29" i="11"/>
  <c r="AK28" i="11"/>
  <c r="AL28" i="11" s="1"/>
  <c r="AC28" i="11"/>
  <c r="AD28" i="11" s="1"/>
  <c r="AE28" i="11" s="1"/>
  <c r="V28" i="11"/>
  <c r="R28" i="11"/>
  <c r="S28" i="11" s="1"/>
  <c r="J28" i="11"/>
  <c r="K28" i="11" s="1"/>
  <c r="G28" i="11"/>
  <c r="AP28" i="11"/>
  <c r="AK27" i="11"/>
  <c r="AL27" i="11"/>
  <c r="AC27" i="11"/>
  <c r="AD27" i="11"/>
  <c r="AG27" i="11" s="1"/>
  <c r="AH27" i="11" s="1"/>
  <c r="AI27" i="11" s="1"/>
  <c r="R27" i="11"/>
  <c r="S27" i="11"/>
  <c r="J27" i="11"/>
  <c r="K27" i="11"/>
  <c r="N27" i="11" s="1"/>
  <c r="O27" i="11" s="1"/>
  <c r="P27" i="11" s="1"/>
  <c r="G27" i="11"/>
  <c r="AP27" i="11" s="1"/>
  <c r="AK26" i="11"/>
  <c r="AL26" i="11" s="1"/>
  <c r="AC26" i="11"/>
  <c r="AD26" i="11" s="1"/>
  <c r="V26" i="11"/>
  <c r="Q26" i="11"/>
  <c r="R26" i="11"/>
  <c r="S26" i="11" s="1"/>
  <c r="J26" i="11"/>
  <c r="K26" i="11" s="1"/>
  <c r="N26" i="11" s="1"/>
  <c r="O26" i="11" s="1"/>
  <c r="P26" i="11" s="1"/>
  <c r="G26" i="11"/>
  <c r="AP26" i="11" s="1"/>
  <c r="AK25" i="11"/>
  <c r="AL25" i="11" s="1"/>
  <c r="AC25" i="11"/>
  <c r="AD25" i="11" s="1"/>
  <c r="V25" i="11"/>
  <c r="R25" i="11"/>
  <c r="S25" i="11" s="1"/>
  <c r="J25" i="11"/>
  <c r="K25" i="11" s="1"/>
  <c r="N25" i="11" s="1"/>
  <c r="O25" i="11" s="1"/>
  <c r="P25" i="11" s="1"/>
  <c r="G25" i="11"/>
  <c r="AK24" i="11"/>
  <c r="AL24" i="11" s="1"/>
  <c r="AC24" i="11"/>
  <c r="AD24" i="11" s="1"/>
  <c r="V24" i="11"/>
  <c r="R24" i="11"/>
  <c r="S24" i="11" s="1"/>
  <c r="J24" i="11"/>
  <c r="K24" i="11" s="1"/>
  <c r="H24" i="11"/>
  <c r="AK23" i="11"/>
  <c r="AL23" i="11" s="1"/>
  <c r="AC23" i="11"/>
  <c r="AD23" i="11" s="1"/>
  <c r="AE23" i="11" s="1"/>
  <c r="W23" i="11"/>
  <c r="Q23" i="11"/>
  <c r="R23" i="11" s="1"/>
  <c r="S23" i="11" s="1"/>
  <c r="J23" i="11"/>
  <c r="K23" i="11" s="1"/>
  <c r="G23" i="11"/>
  <c r="AK22" i="11"/>
  <c r="AL22" i="11" s="1"/>
  <c r="AC22" i="11"/>
  <c r="AD22" i="11" s="1"/>
  <c r="V22" i="11"/>
  <c r="R22" i="11"/>
  <c r="S22" i="11" s="1"/>
  <c r="J22" i="11"/>
  <c r="K22" i="11" s="1"/>
  <c r="G22" i="11"/>
  <c r="AP22" i="11" s="1"/>
  <c r="AK21" i="11"/>
  <c r="AL21" i="11" s="1"/>
  <c r="AC21" i="11"/>
  <c r="AD21" i="11" s="1"/>
  <c r="V21" i="11"/>
  <c r="R21" i="11"/>
  <c r="S21" i="11" s="1"/>
  <c r="J21" i="11"/>
  <c r="K21" i="11" s="1"/>
  <c r="N21" i="11" s="1"/>
  <c r="O21" i="11" s="1"/>
  <c r="P21" i="11" s="1"/>
  <c r="G21" i="11"/>
  <c r="AP21" i="11" s="1"/>
  <c r="AK20" i="11"/>
  <c r="AL20" i="11" s="1"/>
  <c r="AC20" i="11"/>
  <c r="AD20" i="11" s="1"/>
  <c r="AE20" i="11" s="1"/>
  <c r="V20" i="11"/>
  <c r="R20" i="11"/>
  <c r="S20" i="11" s="1"/>
  <c r="J20" i="11"/>
  <c r="K20" i="11" s="1"/>
  <c r="G20" i="11"/>
  <c r="AP20" i="11" s="1"/>
  <c r="AK19" i="11"/>
  <c r="AC19" i="11"/>
  <c r="V19" i="11"/>
  <c r="J19" i="11"/>
  <c r="H19" i="11"/>
  <c r="AK18" i="11"/>
  <c r="AL18" i="11" s="1"/>
  <c r="AC18" i="11"/>
  <c r="V18" i="11"/>
  <c r="Q18" i="11"/>
  <c r="R18" i="11" s="1"/>
  <c r="J18" i="11"/>
  <c r="I18" i="11"/>
  <c r="H18" i="11"/>
  <c r="G18" i="11" s="1"/>
  <c r="AO102" i="11"/>
  <c r="Z102" i="11"/>
  <c r="Q102" i="11"/>
  <c r="I17" i="11"/>
  <c r="I102" i="11" s="1"/>
  <c r="H17" i="11"/>
  <c r="H102" i="11" s="1"/>
  <c r="I16" i="11"/>
  <c r="H16" i="11"/>
  <c r="G16" i="11" s="1"/>
  <c r="V15" i="11"/>
  <c r="G15" i="11"/>
  <c r="AP15" i="11" s="1"/>
  <c r="AJ14" i="11"/>
  <c r="AB14" i="11"/>
  <c r="AA14" i="11"/>
  <c r="AA13" i="11" s="1"/>
  <c r="AA100" i="11" s="1"/>
  <c r="Z14" i="11"/>
  <c r="Q14" i="11"/>
  <c r="Q13" i="11" s="1"/>
  <c r="I14" i="11"/>
  <c r="I13" i="11" s="1"/>
  <c r="AJ13" i="11"/>
  <c r="AB13" i="11"/>
  <c r="AB100" i="11" s="1"/>
  <c r="Z13" i="11"/>
  <c r="Z100" i="11" s="1"/>
  <c r="AL19" i="11"/>
  <c r="W17" i="11"/>
  <c r="W102" i="11" s="1"/>
  <c r="AC41" i="11"/>
  <c r="AD41" i="11" s="1"/>
  <c r="AB17" i="11"/>
  <c r="AB102" i="11" s="1"/>
  <c r="AG61" i="11"/>
  <c r="V16" i="11"/>
  <c r="AE61" i="11"/>
  <c r="AD16" i="11"/>
  <c r="W101" i="11"/>
  <c r="X70" i="11"/>
  <c r="S73" i="11"/>
  <c r="R69" i="11"/>
  <c r="R68" i="11" s="1"/>
  <c r="L72" i="11"/>
  <c r="AD72" i="11"/>
  <c r="AK72" i="11"/>
  <c r="AG86" i="11"/>
  <c r="AD71" i="11"/>
  <c r="AE92" i="11"/>
  <c r="AF92" i="11" s="1"/>
  <c r="AK93" i="11"/>
  <c r="AL93" i="11" s="1"/>
  <c r="AL91" i="11"/>
  <c r="AL90" i="11" s="1"/>
  <c r="AJ91" i="11"/>
  <c r="AJ90" i="11"/>
  <c r="AJ100" i="11" s="1"/>
  <c r="K18" i="11"/>
  <c r="L18" i="11" s="1"/>
  <c r="AD19" i="11"/>
  <c r="AG32" i="11"/>
  <c r="AH32" i="11" s="1"/>
  <c r="AI32" i="11" s="1"/>
  <c r="L33" i="11"/>
  <c r="T33" i="11" s="1"/>
  <c r="AP37" i="11"/>
  <c r="K38" i="11"/>
  <c r="L38" i="11" s="1"/>
  <c r="M38" i="11" s="1"/>
  <c r="AG38" i="11"/>
  <c r="AH38" i="11" s="1"/>
  <c r="L41" i="11"/>
  <c r="M41" i="11" s="1"/>
  <c r="S41" i="11"/>
  <c r="L42" i="11"/>
  <c r="M42" i="11" s="1"/>
  <c r="N44" i="11"/>
  <c r="O44" i="11" s="1"/>
  <c r="P44" i="11" s="1"/>
  <c r="AG45" i="11"/>
  <c r="AH45" i="11" s="1"/>
  <c r="AI45" i="11" s="1"/>
  <c r="AP46" i="11"/>
  <c r="AG46" i="11"/>
  <c r="AH46" i="11" s="1"/>
  <c r="AI46" i="11" s="1"/>
  <c r="N51" i="11"/>
  <c r="O51" i="11" s="1"/>
  <c r="P51" i="11" s="1"/>
  <c r="S61" i="11"/>
  <c r="S16" i="11" s="1"/>
  <c r="R16" i="11"/>
  <c r="AK61" i="11"/>
  <c r="AL61" i="11" s="1"/>
  <c r="AL16" i="11" s="1"/>
  <c r="AJ16" i="11"/>
  <c r="G70" i="11"/>
  <c r="AC70" i="11"/>
  <c r="AD73" i="11"/>
  <c r="AL73" i="11"/>
  <c r="S74" i="11"/>
  <c r="S72" i="11" s="1"/>
  <c r="R72" i="11"/>
  <c r="AG75" i="11"/>
  <c r="AH77" i="11"/>
  <c r="AH75" i="11" s="1"/>
  <c r="L78" i="11"/>
  <c r="T78" i="11" s="1"/>
  <c r="AL86" i="11"/>
  <c r="AL71" i="11"/>
  <c r="AK71" i="11"/>
  <c r="AK91" i="11"/>
  <c r="AK90" i="11" s="1"/>
  <c r="AG94" i="11"/>
  <c r="AH94" i="11" s="1"/>
  <c r="J95" i="11"/>
  <c r="K95" i="11" s="1"/>
  <c r="L95" i="11" s="1"/>
  <c r="R95" i="11"/>
  <c r="S95" i="11" s="1"/>
  <c r="AG97" i="11"/>
  <c r="AH97" i="11" s="1"/>
  <c r="AI97" i="11" s="1"/>
  <c r="I68" i="11"/>
  <c r="J68" i="11" s="1"/>
  <c r="J90" i="11"/>
  <c r="K90" i="11" s="1"/>
  <c r="AG20" i="11"/>
  <c r="AH20" i="11" s="1"/>
  <c r="L22" i="11"/>
  <c r="N22" i="11"/>
  <c r="O22" i="11" s="1"/>
  <c r="P22" i="11" s="1"/>
  <c r="AF23" i="11"/>
  <c r="AF28" i="11"/>
  <c r="AG29" i="11"/>
  <c r="AH29" i="11" s="1"/>
  <c r="AI29" i="11" s="1"/>
  <c r="AE29" i="11"/>
  <c r="AP18" i="11"/>
  <c r="L20" i="11"/>
  <c r="N20" i="11"/>
  <c r="O20" i="11" s="1"/>
  <c r="P20" i="11" s="1"/>
  <c r="L25" i="11"/>
  <c r="AG26" i="11"/>
  <c r="AH26" i="11" s="1"/>
  <c r="AI26" i="11" s="1"/>
  <c r="AE26" i="11"/>
  <c r="AE27" i="11"/>
  <c r="L29" i="11"/>
  <c r="AM32" i="11"/>
  <c r="AM45" i="11"/>
  <c r="N18" i="11"/>
  <c r="O18" i="11" s="1"/>
  <c r="P18" i="11" s="1"/>
  <c r="H14" i="11"/>
  <c r="H13" i="11" s="1"/>
  <c r="G17" i="11"/>
  <c r="G19" i="11"/>
  <c r="AP19" i="11" s="1"/>
  <c r="L21" i="11"/>
  <c r="G24" i="11"/>
  <c r="AP24" i="11" s="1"/>
  <c r="L26" i="11"/>
  <c r="L27" i="11"/>
  <c r="N30" i="11"/>
  <c r="O30" i="11" s="1"/>
  <c r="P30" i="11" s="1"/>
  <c r="AF30" i="11"/>
  <c r="AE31" i="11"/>
  <c r="L32" i="11"/>
  <c r="AE33" i="11"/>
  <c r="N34" i="11"/>
  <c r="O34" i="11" s="1"/>
  <c r="P34" i="11" s="1"/>
  <c r="L34" i="11"/>
  <c r="AE35" i="11"/>
  <c r="L36" i="11"/>
  <c r="AF36" i="11"/>
  <c r="AE37" i="11"/>
  <c r="AE38" i="11"/>
  <c r="N39" i="11"/>
  <c r="O39" i="11" s="1"/>
  <c r="P39" i="11" s="1"/>
  <c r="L39" i="11"/>
  <c r="AE40" i="11"/>
  <c r="AF42" i="11"/>
  <c r="AP42" i="11"/>
  <c r="AE44" i="11"/>
  <c r="L45" i="11"/>
  <c r="AF45" i="11"/>
  <c r="AE46" i="11"/>
  <c r="L47" i="11"/>
  <c r="AF47" i="11"/>
  <c r="AE48" i="11"/>
  <c r="AH48" i="11" s="1"/>
  <c r="AF49" i="11"/>
  <c r="AN49" i="11" s="1"/>
  <c r="N52" i="11"/>
  <c r="O52" i="11" s="1"/>
  <c r="P52" i="11" s="1"/>
  <c r="L52" i="11"/>
  <c r="N53" i="11"/>
  <c r="O53" i="11" s="1"/>
  <c r="P53" i="11" s="1"/>
  <c r="L53" i="11"/>
  <c r="M53" i="11" s="1"/>
  <c r="AG55" i="11"/>
  <c r="AH55" i="11" s="1"/>
  <c r="AI55" i="11" s="1"/>
  <c r="AE55" i="11"/>
  <c r="AF55" i="11" s="1"/>
  <c r="AE59" i="11"/>
  <c r="AF59" i="11" s="1"/>
  <c r="M33" i="11"/>
  <c r="U33" i="11" s="1"/>
  <c r="T41" i="11"/>
  <c r="M44" i="11"/>
  <c r="L48" i="11"/>
  <c r="M48" i="11" s="1"/>
  <c r="U48" i="11" s="1"/>
  <c r="T51" i="11"/>
  <c r="M51" i="11"/>
  <c r="U51" i="11" s="1"/>
  <c r="N55" i="11"/>
  <c r="O55" i="11" s="1"/>
  <c r="L55" i="11"/>
  <c r="AF57" i="11"/>
  <c r="L59" i="11"/>
  <c r="M59" i="11" s="1"/>
  <c r="L50" i="11"/>
  <c r="M50" i="11" s="1"/>
  <c r="U50" i="11" s="1"/>
  <c r="G51" i="11"/>
  <c r="AP51" i="11" s="1"/>
  <c r="L54" i="11"/>
  <c r="M54" i="11" s="1"/>
  <c r="U54" i="11" s="1"/>
  <c r="L56" i="11"/>
  <c r="L57" i="11"/>
  <c r="M57" i="11" s="1"/>
  <c r="U57" i="11" s="1"/>
  <c r="L60" i="11"/>
  <c r="M60" i="11" s="1"/>
  <c r="U60" i="11" s="1"/>
  <c r="AP61" i="11"/>
  <c r="AP16" i="11" s="1"/>
  <c r="N61" i="11"/>
  <c r="N16" i="11" s="1"/>
  <c r="L61" i="11"/>
  <c r="L16" i="11" s="1"/>
  <c r="AG62" i="11"/>
  <c r="L64" i="11"/>
  <c r="AE64" i="11"/>
  <c r="AE65" i="11"/>
  <c r="AG66" i="11"/>
  <c r="AH66" i="11" s="1"/>
  <c r="AE66" i="11"/>
  <c r="AE67" i="11"/>
  <c r="N62" i="11"/>
  <c r="O62" i="11"/>
  <c r="P62" i="11" s="1"/>
  <c r="L62" i="11"/>
  <c r="N65" i="11"/>
  <c r="O65" i="11" s="1"/>
  <c r="L65" i="11"/>
  <c r="N66" i="11"/>
  <c r="O66" i="11" s="1"/>
  <c r="L66" i="11"/>
  <c r="N67" i="11"/>
  <c r="O67" i="11" s="1"/>
  <c r="P67" i="11" s="1"/>
  <c r="L67" i="11"/>
  <c r="K69" i="11"/>
  <c r="G101" i="11"/>
  <c r="R101" i="11"/>
  <c r="AC101" i="11"/>
  <c r="K71" i="11"/>
  <c r="K72" i="11"/>
  <c r="N74" i="11"/>
  <c r="AM77" i="11"/>
  <c r="M78" i="11"/>
  <c r="U78" i="11" s="1"/>
  <c r="AF79" i="11"/>
  <c r="AG80" i="11"/>
  <c r="AH80" i="11" s="1"/>
  <c r="AE80" i="11"/>
  <c r="N82" i="11"/>
  <c r="O82" i="11" s="1"/>
  <c r="P82" i="11" s="1"/>
  <c r="L82" i="11"/>
  <c r="AF83" i="11"/>
  <c r="AG84" i="11"/>
  <c r="AH84" i="11" s="1"/>
  <c r="AI84" i="11" s="1"/>
  <c r="AE84" i="11"/>
  <c r="L85" i="11"/>
  <c r="J70" i="11"/>
  <c r="J101" i="11" s="1"/>
  <c r="S70" i="11"/>
  <c r="S101" i="11" s="1"/>
  <c r="AD70" i="11"/>
  <c r="AE70" i="11" s="1"/>
  <c r="L73" i="11"/>
  <c r="T73" i="11" s="1"/>
  <c r="G75" i="11"/>
  <c r="AP75" i="11" s="1"/>
  <c r="N77" i="11"/>
  <c r="O77" i="11" s="1"/>
  <c r="AE78" i="11"/>
  <c r="L80" i="11"/>
  <c r="M80" i="11" s="1"/>
  <c r="U80" i="11" s="1"/>
  <c r="AG82" i="11"/>
  <c r="AH82" i="11" s="1"/>
  <c r="AE82" i="11"/>
  <c r="AF82" i="11" s="1"/>
  <c r="N84" i="11"/>
  <c r="O84" i="11" s="1"/>
  <c r="P84" i="11" s="1"/>
  <c r="L84" i="11"/>
  <c r="N86" i="11"/>
  <c r="O86" i="11" s="1"/>
  <c r="N87" i="11"/>
  <c r="O87" i="11" s="1"/>
  <c r="P87" i="11" s="1"/>
  <c r="L87" i="11"/>
  <c r="N88" i="11"/>
  <c r="O88" i="11" s="1"/>
  <c r="L88" i="11"/>
  <c r="L79" i="11"/>
  <c r="L81" i="11"/>
  <c r="L83" i="11"/>
  <c r="M83" i="11" s="1"/>
  <c r="U83" i="11" s="1"/>
  <c r="AE85" i="11"/>
  <c r="AF85" i="11" s="1"/>
  <c r="AN85" i="11" s="1"/>
  <c r="AE86" i="11"/>
  <c r="AE88" i="11"/>
  <c r="AM88" i="11" s="1"/>
  <c r="L89" i="11"/>
  <c r="AE89" i="11"/>
  <c r="AF89" i="11" s="1"/>
  <c r="AN89" i="11" s="1"/>
  <c r="H90" i="11"/>
  <c r="K91" i="11"/>
  <c r="AG96" i="11"/>
  <c r="AH96" i="11" s="1"/>
  <c r="N92" i="11"/>
  <c r="L92" i="11"/>
  <c r="N96" i="11"/>
  <c r="O96" i="11" s="1"/>
  <c r="L96" i="11"/>
  <c r="M96" i="11" s="1"/>
  <c r="N97" i="11"/>
  <c r="O97" i="11" s="1"/>
  <c r="P97" i="11" s="1"/>
  <c r="L97" i="11"/>
  <c r="M97" i="11" s="1"/>
  <c r="AM97" i="11"/>
  <c r="L93" i="11"/>
  <c r="T93" i="11" s="1"/>
  <c r="L94" i="11"/>
  <c r="T94" i="11" s="1"/>
  <c r="N99" i="11"/>
  <c r="O99" i="11" s="1"/>
  <c r="P99" i="11" s="1"/>
  <c r="N95" i="11"/>
  <c r="O95" i="11" s="1"/>
  <c r="P95" i="11" s="1"/>
  <c r="O74" i="11"/>
  <c r="AH62" i="11"/>
  <c r="AI62" i="11" s="1"/>
  <c r="AI77" i="11"/>
  <c r="AK16" i="11"/>
  <c r="N38" i="11"/>
  <c r="O38" i="11" s="1"/>
  <c r="P38" i="11" s="1"/>
  <c r="AD69" i="11"/>
  <c r="AD68" i="11" s="1"/>
  <c r="AG71" i="11"/>
  <c r="AH86" i="11"/>
  <c r="AF61" i="11"/>
  <c r="AE16" i="11"/>
  <c r="AG16" i="11"/>
  <c r="AH61" i="11"/>
  <c r="I100" i="11"/>
  <c r="AN81" i="11"/>
  <c r="M93" i="11"/>
  <c r="U93" i="11" s="1"/>
  <c r="T89" i="11"/>
  <c r="M89" i="11"/>
  <c r="U89" i="11" s="1"/>
  <c r="AM85" i="11"/>
  <c r="M99" i="11"/>
  <c r="M94" i="11"/>
  <c r="AM89" i="11"/>
  <c r="AF88" i="11"/>
  <c r="AN88" i="11" s="1"/>
  <c r="T83" i="11"/>
  <c r="M79" i="11"/>
  <c r="U79" i="11" s="1"/>
  <c r="M88" i="11"/>
  <c r="T87" i="11"/>
  <c r="M87" i="11"/>
  <c r="U87" i="11"/>
  <c r="T86" i="11"/>
  <c r="M71" i="11"/>
  <c r="T80" i="11"/>
  <c r="AF78" i="11"/>
  <c r="AN78" i="11" s="1"/>
  <c r="M73" i="11"/>
  <c r="K70" i="11"/>
  <c r="T62" i="11"/>
  <c r="M62" i="11"/>
  <c r="M61" i="11"/>
  <c r="M16" i="11" s="1"/>
  <c r="T61" i="11"/>
  <c r="T60" i="11"/>
  <c r="T57" i="11"/>
  <c r="T50" i="11"/>
  <c r="M55" i="11"/>
  <c r="T48" i="11"/>
  <c r="AM55" i="11"/>
  <c r="T53" i="11"/>
  <c r="T52" i="11"/>
  <c r="M52" i="11"/>
  <c r="U52" i="11" s="1"/>
  <c r="AM48" i="11"/>
  <c r="AF48" i="11"/>
  <c r="T47" i="11"/>
  <c r="M47" i="11"/>
  <c r="U47" i="11" s="1"/>
  <c r="AM46" i="11"/>
  <c r="AF46" i="11"/>
  <c r="M45" i="11"/>
  <c r="U45" i="11" s="1"/>
  <c r="T45" i="11"/>
  <c r="AQ45" i="11" s="1"/>
  <c r="AM44" i="11"/>
  <c r="AF44" i="11"/>
  <c r="AN44" i="11" s="1"/>
  <c r="AF40" i="11"/>
  <c r="M39" i="11"/>
  <c r="T39" i="11"/>
  <c r="AF38" i="11"/>
  <c r="T27" i="11"/>
  <c r="M27" i="11"/>
  <c r="U27" i="11" s="1"/>
  <c r="T25" i="11"/>
  <c r="M25" i="11"/>
  <c r="AM29" i="11"/>
  <c r="AF29" i="11"/>
  <c r="AN29" i="11" s="1"/>
  <c r="T22" i="11"/>
  <c r="M22" i="11"/>
  <c r="U22" i="11" s="1"/>
  <c r="M92" i="11"/>
  <c r="AF96" i="11"/>
  <c r="G90" i="11"/>
  <c r="T81" i="11"/>
  <c r="M81" i="11"/>
  <c r="T85" i="11"/>
  <c r="AQ85" i="11" s="1"/>
  <c r="M85" i="11"/>
  <c r="U85" i="11" s="1"/>
  <c r="AM84" i="11"/>
  <c r="AF84" i="11"/>
  <c r="AN84" i="11" s="1"/>
  <c r="T82" i="11"/>
  <c r="M82" i="11"/>
  <c r="U82" i="11" s="1"/>
  <c r="AF80" i="11"/>
  <c r="T67" i="11"/>
  <c r="M67" i="11"/>
  <c r="U67" i="11" s="1"/>
  <c r="M66" i="11"/>
  <c r="M65" i="11"/>
  <c r="AF67" i="11"/>
  <c r="AF66" i="11"/>
  <c r="AF65" i="11"/>
  <c r="AF64" i="11"/>
  <c r="T64" i="11"/>
  <c r="M64" i="11"/>
  <c r="U64" i="11" s="1"/>
  <c r="T56" i="11"/>
  <c r="M56" i="11"/>
  <c r="U56" i="11" s="1"/>
  <c r="AF43" i="11"/>
  <c r="AK41" i="11"/>
  <c r="AL41" i="11" s="1"/>
  <c r="AL17" i="11" s="1"/>
  <c r="AL102" i="11" s="1"/>
  <c r="AF37" i="11"/>
  <c r="M36" i="11"/>
  <c r="U36" i="11" s="1"/>
  <c r="T36" i="11"/>
  <c r="AF35" i="11"/>
  <c r="M34" i="11"/>
  <c r="U34" i="11" s="1"/>
  <c r="T34" i="11"/>
  <c r="AF33" i="11"/>
  <c r="M32" i="11"/>
  <c r="U32" i="11" s="1"/>
  <c r="T32" i="11"/>
  <c r="AQ32" i="11" s="1"/>
  <c r="AM31" i="11"/>
  <c r="AF31" i="11"/>
  <c r="AN31" i="11" s="1"/>
  <c r="M30" i="11"/>
  <c r="U30" i="11" s="1"/>
  <c r="T30" i="11"/>
  <c r="T26" i="11"/>
  <c r="M26" i="11"/>
  <c r="U26" i="11" s="1"/>
  <c r="T21" i="11"/>
  <c r="M21" i="11"/>
  <c r="U21" i="11" s="1"/>
  <c r="G102" i="11"/>
  <c r="T29" i="11"/>
  <c r="AQ29" i="11" s="1"/>
  <c r="M29" i="11"/>
  <c r="U29" i="11" s="1"/>
  <c r="AR29" i="11" s="1"/>
  <c r="AM27" i="11"/>
  <c r="AF27" i="11"/>
  <c r="AM26" i="11"/>
  <c r="AF26" i="11"/>
  <c r="AN26" i="11" s="1"/>
  <c r="T20" i="11"/>
  <c r="M20" i="11"/>
  <c r="U20" i="11" s="1"/>
  <c r="G14" i="11"/>
  <c r="G13" i="11" s="1"/>
  <c r="AF20" i="11"/>
  <c r="T18" i="11"/>
  <c r="M18" i="11"/>
  <c r="AK17" i="11"/>
  <c r="AK102" i="11" s="1"/>
  <c r="AQ89" i="11"/>
  <c r="AH16" i="11"/>
  <c r="AI61" i="11"/>
  <c r="AI16" i="11" s="1"/>
  <c r="AM61" i="11"/>
  <c r="AM16" i="11" s="1"/>
  <c r="AH71" i="11"/>
  <c r="AI86" i="11"/>
  <c r="AI71" i="11" s="1"/>
  <c r="U38" i="11"/>
  <c r="T38" i="11"/>
  <c r="AI75" i="11"/>
  <c r="AN75" i="11" s="1"/>
  <c r="AN77" i="11"/>
  <c r="P86" i="11"/>
  <c r="P71" i="11" s="1"/>
  <c r="O71" i="11"/>
  <c r="AQ26" i="11"/>
  <c r="AF16" i="11"/>
  <c r="AM75" i="11"/>
  <c r="P74" i="11"/>
  <c r="M95" i="11"/>
  <c r="U95" i="11"/>
  <c r="T95" i="11"/>
  <c r="AQ48" i="11"/>
  <c r="T16" i="11"/>
  <c r="U73" i="11"/>
  <c r="T71" i="11"/>
  <c r="U61" i="11"/>
  <c r="U16" i="11" s="1"/>
  <c r="K101" i="11"/>
  <c r="N70" i="11"/>
  <c r="O70" i="11" s="1"/>
  <c r="O101" i="11" s="1"/>
  <c r="U86" i="11"/>
  <c r="U71" i="11" s="1"/>
  <c r="N101" i="11"/>
  <c r="L101" i="11"/>
  <c r="M101" i="11"/>
  <c r="AB14" i="8"/>
  <c r="AB13" i="8" s="1"/>
  <c r="AK18" i="8"/>
  <c r="AL18" i="8" s="1"/>
  <c r="AK19" i="8"/>
  <c r="AL19" i="8" s="1"/>
  <c r="AK20" i="8"/>
  <c r="AL20" i="8" s="1"/>
  <c r="AK21" i="8"/>
  <c r="AL21" i="8" s="1"/>
  <c r="AK22" i="8"/>
  <c r="AL22" i="8" s="1"/>
  <c r="AK23" i="8"/>
  <c r="AL23" i="8" s="1"/>
  <c r="AK24" i="8"/>
  <c r="AL24" i="8" s="1"/>
  <c r="AK25" i="8"/>
  <c r="AL25" i="8" s="1"/>
  <c r="AK26" i="8"/>
  <c r="AL26" i="8" s="1"/>
  <c r="AK27" i="8"/>
  <c r="AL27" i="8" s="1"/>
  <c r="AK28" i="8"/>
  <c r="AL28" i="8" s="1"/>
  <c r="AK29" i="8"/>
  <c r="AL29" i="8" s="1"/>
  <c r="AK30" i="8"/>
  <c r="AL30" i="8" s="1"/>
  <c r="AK31" i="8"/>
  <c r="AL31" i="8" s="1"/>
  <c r="AK32" i="8"/>
  <c r="AL32" i="8" s="1"/>
  <c r="AK33" i="8"/>
  <c r="AL33" i="8" s="1"/>
  <c r="AK34" i="8"/>
  <c r="AL34" i="8" s="1"/>
  <c r="AK35" i="8"/>
  <c r="AL35" i="8" s="1"/>
  <c r="AK36" i="8"/>
  <c r="AL36" i="8" s="1"/>
  <c r="AK37" i="8"/>
  <c r="AL37" i="8" s="1"/>
  <c r="AK38" i="8"/>
  <c r="AL38" i="8" s="1"/>
  <c r="AK39" i="8"/>
  <c r="AL39" i="8" s="1"/>
  <c r="AK40" i="8"/>
  <c r="AL40" i="8" s="1"/>
  <c r="AK42" i="8"/>
  <c r="AL42" i="8" s="1"/>
  <c r="AK43" i="8"/>
  <c r="AL43" i="8" s="1"/>
  <c r="AK44" i="8"/>
  <c r="AL44" i="8" s="1"/>
  <c r="AK45" i="8"/>
  <c r="AL45" i="8" s="1"/>
  <c r="AK46" i="8"/>
  <c r="AL46" i="8" s="1"/>
  <c r="AK47" i="8"/>
  <c r="AL47" i="8" s="1"/>
  <c r="AK48" i="8"/>
  <c r="AL48" i="8" s="1"/>
  <c r="AK49" i="8"/>
  <c r="AL49" i="8" s="1"/>
  <c r="AK50" i="8"/>
  <c r="AL50" i="8" s="1"/>
  <c r="AK51" i="8"/>
  <c r="AL51" i="8" s="1"/>
  <c r="AK53" i="8"/>
  <c r="AL53" i="8" s="1"/>
  <c r="AK54" i="8"/>
  <c r="AL54" i="8" s="1"/>
  <c r="AK55" i="8"/>
  <c r="AL55" i="8" s="1"/>
  <c r="AK71" i="8"/>
  <c r="AL71" i="8" s="1"/>
  <c r="AK73" i="8"/>
  <c r="AL73" i="8" s="1"/>
  <c r="AK74" i="8"/>
  <c r="AL74" i="8" s="1"/>
  <c r="AK75" i="8"/>
  <c r="AL75" i="8" s="1"/>
  <c r="AK76" i="8"/>
  <c r="AL76" i="8" s="1"/>
  <c r="AK77" i="8"/>
  <c r="AL77" i="8" s="1"/>
  <c r="AK78" i="8"/>
  <c r="AL78" i="8" s="1"/>
  <c r="AK79" i="8"/>
  <c r="AL79" i="8" s="1"/>
  <c r="AK80" i="8"/>
  <c r="AL80" i="8" s="1"/>
  <c r="AK81" i="8"/>
  <c r="AL81" i="8" s="1"/>
  <c r="AK82" i="8"/>
  <c r="AL82" i="8" s="1"/>
  <c r="AK83" i="8"/>
  <c r="AL83" i="8" s="1"/>
  <c r="AK85" i="8"/>
  <c r="AL85" i="8" s="1"/>
  <c r="AK86" i="8"/>
  <c r="AL86" i="8" s="1"/>
  <c r="AK87" i="8"/>
  <c r="AL87" i="8" s="1"/>
  <c r="AK88" i="8"/>
  <c r="AL88" i="8" s="1"/>
  <c r="AK89" i="8"/>
  <c r="AL89" i="8" s="1"/>
  <c r="AK92" i="8"/>
  <c r="AL92" i="8" s="1"/>
  <c r="AK94" i="8"/>
  <c r="AL94" i="8" s="1"/>
  <c r="AK95" i="8"/>
  <c r="AL95" i="8" s="1"/>
  <c r="AK97" i="8"/>
  <c r="AL97" i="8" s="1"/>
  <c r="AK98" i="8"/>
  <c r="AL98" i="8" s="1"/>
  <c r="AK99" i="8"/>
  <c r="AL99" i="8" s="1"/>
  <c r="X18" i="8"/>
  <c r="X19" i="8"/>
  <c r="Y19" i="8" s="1"/>
  <c r="X20" i="8"/>
  <c r="Y20" i="8"/>
  <c r="X21" i="8"/>
  <c r="Y21" i="8"/>
  <c r="X22" i="8"/>
  <c r="Y22" i="8"/>
  <c r="X24" i="8"/>
  <c r="Y24" i="8"/>
  <c r="X25" i="8"/>
  <c r="Y25" i="8"/>
  <c r="X26" i="8"/>
  <c r="Y26" i="8"/>
  <c r="X27" i="8"/>
  <c r="Y27" i="8"/>
  <c r="X28" i="8"/>
  <c r="Y28" i="8" s="1"/>
  <c r="X29" i="8"/>
  <c r="Y29" i="8" s="1"/>
  <c r="X30" i="8"/>
  <c r="Y30" i="8" s="1"/>
  <c r="X31" i="8"/>
  <c r="Y31" i="8" s="1"/>
  <c r="X32" i="8"/>
  <c r="Y32" i="8" s="1"/>
  <c r="X33" i="8"/>
  <c r="Y33" i="8" s="1"/>
  <c r="X34" i="8"/>
  <c r="Y34" i="8" s="1"/>
  <c r="X35" i="8"/>
  <c r="Y35" i="8" s="1"/>
  <c r="X36" i="8"/>
  <c r="Y36" i="8" s="1"/>
  <c r="X37" i="8"/>
  <c r="Y37" i="8" s="1"/>
  <c r="X38" i="8"/>
  <c r="Y38" i="8" s="1"/>
  <c r="X39" i="8"/>
  <c r="Y39" i="8" s="1"/>
  <c r="X40" i="8"/>
  <c r="Y40" i="8" s="1"/>
  <c r="X42" i="8"/>
  <c r="Y42" i="8" s="1"/>
  <c r="X43" i="8"/>
  <c r="Y43" i="8" s="1"/>
  <c r="X44" i="8"/>
  <c r="Y44" i="8" s="1"/>
  <c r="X45" i="8"/>
  <c r="Y45" i="8" s="1"/>
  <c r="X46" i="8"/>
  <c r="Y46" i="8" s="1"/>
  <c r="X47" i="8"/>
  <c r="Y47" i="8" s="1"/>
  <c r="X48" i="8"/>
  <c r="Y48" i="8" s="1"/>
  <c r="X50" i="8"/>
  <c r="Y50" i="8" s="1"/>
  <c r="X51" i="8"/>
  <c r="Y51" i="8" s="1"/>
  <c r="X52" i="8"/>
  <c r="Y52" i="8" s="1"/>
  <c r="X53" i="8"/>
  <c r="Y53" i="8" s="1"/>
  <c r="X54" i="8"/>
  <c r="Y54" i="8" s="1"/>
  <c r="X55" i="8"/>
  <c r="Y55" i="8" s="1"/>
  <c r="X56" i="8"/>
  <c r="Y56" i="8" s="1"/>
  <c r="X57" i="8"/>
  <c r="Y57" i="8" s="1"/>
  <c r="X58" i="8"/>
  <c r="Y58" i="8" s="1"/>
  <c r="X59" i="8"/>
  <c r="Y59" i="8" s="1"/>
  <c r="X60" i="8"/>
  <c r="Y60" i="8" s="1"/>
  <c r="X61" i="8"/>
  <c r="Y61" i="8" s="1"/>
  <c r="X62" i="8"/>
  <c r="Y62" i="8" s="1"/>
  <c r="X63" i="8"/>
  <c r="Y63" i="8" s="1"/>
  <c r="X64" i="8"/>
  <c r="Y64" i="8" s="1"/>
  <c r="X65" i="8"/>
  <c r="Y65" i="8" s="1"/>
  <c r="X66" i="8"/>
  <c r="Y66" i="8" s="1"/>
  <c r="X67" i="8"/>
  <c r="Y67" i="8" s="1"/>
  <c r="X71" i="8"/>
  <c r="Y71" i="8" s="1"/>
  <c r="X73" i="8"/>
  <c r="Y73" i="8" s="1"/>
  <c r="X74" i="8"/>
  <c r="Y74" i="8" s="1"/>
  <c r="X75" i="8"/>
  <c r="Y75" i="8" s="1"/>
  <c r="X76" i="8"/>
  <c r="Y76" i="8" s="1"/>
  <c r="X77" i="8"/>
  <c r="Y77" i="8" s="1"/>
  <c r="X78" i="8"/>
  <c r="Y78" i="8" s="1"/>
  <c r="X79" i="8"/>
  <c r="Y79" i="8" s="1"/>
  <c r="X80" i="8"/>
  <c r="Y80" i="8" s="1"/>
  <c r="X81" i="8"/>
  <c r="Y81" i="8" s="1"/>
  <c r="X82" i="8"/>
  <c r="Y82" i="8" s="1"/>
  <c r="X83" i="8"/>
  <c r="Y83" i="8" s="1"/>
  <c r="X84" i="8"/>
  <c r="Y84" i="8" s="1"/>
  <c r="X85" i="8"/>
  <c r="Y85" i="8" s="1"/>
  <c r="X86" i="8"/>
  <c r="Y86" i="8" s="1"/>
  <c r="X87" i="8"/>
  <c r="Y87" i="8" s="1"/>
  <c r="X88" i="8"/>
  <c r="Y88" i="8" s="1"/>
  <c r="X89" i="8"/>
  <c r="Y89" i="8" s="1"/>
  <c r="X92" i="8"/>
  <c r="Y92" i="8" s="1"/>
  <c r="X93" i="8"/>
  <c r="Y93" i="8" s="1"/>
  <c r="X94" i="8"/>
  <c r="Y94" i="8" s="1"/>
  <c r="X95" i="8"/>
  <c r="Y95" i="8" s="1"/>
  <c r="X96" i="8"/>
  <c r="Y96" i="8" s="1"/>
  <c r="X97" i="8"/>
  <c r="Y97" i="8" s="1"/>
  <c r="X98" i="8"/>
  <c r="Y98" i="8" s="1"/>
  <c r="X99" i="8"/>
  <c r="Y99" i="8" s="1"/>
  <c r="Y18" i="8"/>
  <c r="AC18" i="8"/>
  <c r="AC19" i="8"/>
  <c r="AD19" i="8" s="1"/>
  <c r="AE19" i="8" s="1"/>
  <c r="AC20" i="8"/>
  <c r="AD20" i="8" s="1"/>
  <c r="AE20" i="8" s="1"/>
  <c r="AC21" i="8"/>
  <c r="AD21" i="8" s="1"/>
  <c r="AE21" i="8" s="1"/>
  <c r="AC22" i="8"/>
  <c r="AD22" i="8" s="1"/>
  <c r="AE22" i="8" s="1"/>
  <c r="AC23" i="8"/>
  <c r="AD23" i="8" s="1"/>
  <c r="AE23" i="8" s="1"/>
  <c r="AC24" i="8"/>
  <c r="AD24" i="8" s="1"/>
  <c r="AE24" i="8" s="1"/>
  <c r="AC25" i="8"/>
  <c r="AD25" i="8" s="1"/>
  <c r="AE25" i="8" s="1"/>
  <c r="AC26" i="8"/>
  <c r="AD26" i="8"/>
  <c r="AE26" i="8" s="1"/>
  <c r="AC27" i="8"/>
  <c r="AD27" i="8" s="1"/>
  <c r="AG27" i="8" s="1"/>
  <c r="AH27" i="8" s="1"/>
  <c r="AI27" i="8" s="1"/>
  <c r="AC28" i="8"/>
  <c r="AD28" i="8" s="1"/>
  <c r="AE28" i="8" s="1"/>
  <c r="AC29" i="8"/>
  <c r="AD29" i="8" s="1"/>
  <c r="AE29" i="8" s="1"/>
  <c r="AC30" i="8"/>
  <c r="AD30" i="8"/>
  <c r="AE30" i="8" s="1"/>
  <c r="AC31" i="8"/>
  <c r="AD31" i="8" s="1"/>
  <c r="AE31" i="8" s="1"/>
  <c r="AC32" i="8"/>
  <c r="AD32" i="8" s="1"/>
  <c r="AE32" i="8" s="1"/>
  <c r="AC33" i="8"/>
  <c r="AD33" i="8" s="1"/>
  <c r="AE33" i="8" s="1"/>
  <c r="AC34" i="8"/>
  <c r="AD34" i="8" s="1"/>
  <c r="AC35" i="8"/>
  <c r="AD35" i="8" s="1"/>
  <c r="AE35" i="8" s="1"/>
  <c r="AC36" i="8"/>
  <c r="AD36" i="8" s="1"/>
  <c r="AE36" i="8" s="1"/>
  <c r="AC37" i="8"/>
  <c r="AD37" i="8" s="1"/>
  <c r="AE37" i="8" s="1"/>
  <c r="AC38" i="8"/>
  <c r="AD38" i="8" s="1"/>
  <c r="AC39" i="8"/>
  <c r="AD39" i="8" s="1"/>
  <c r="AE39" i="8" s="1"/>
  <c r="AC40" i="8"/>
  <c r="AD40" i="8" s="1"/>
  <c r="AE40" i="8" s="1"/>
  <c r="AC42" i="8"/>
  <c r="AD42" i="8" s="1"/>
  <c r="AE42" i="8" s="1"/>
  <c r="AC43" i="8"/>
  <c r="AD43" i="8" s="1"/>
  <c r="AE43" i="8" s="1"/>
  <c r="AC44" i="8"/>
  <c r="AD44" i="8" s="1"/>
  <c r="AE44" i="8" s="1"/>
  <c r="AC45" i="8"/>
  <c r="AD45" i="8" s="1"/>
  <c r="AE45" i="8" s="1"/>
  <c r="AC46" i="8"/>
  <c r="AD46" i="8" s="1"/>
  <c r="AE46" i="8" s="1"/>
  <c r="AC47" i="8"/>
  <c r="AD47" i="8" s="1"/>
  <c r="AE47" i="8" s="1"/>
  <c r="AC48" i="8"/>
  <c r="AD48" i="8" s="1"/>
  <c r="AE48" i="8" s="1"/>
  <c r="AC49" i="8"/>
  <c r="AD49" i="8" s="1"/>
  <c r="AE49" i="8" s="1"/>
  <c r="AC50" i="8"/>
  <c r="AD50" i="8" s="1"/>
  <c r="AE50" i="8" s="1"/>
  <c r="AC51" i="8"/>
  <c r="AD51" i="8" s="1"/>
  <c r="AE51" i="8" s="1"/>
  <c r="AF51" i="8" s="1"/>
  <c r="AC52" i="8"/>
  <c r="AD52" i="8" s="1"/>
  <c r="AE52" i="8" s="1"/>
  <c r="AC53" i="8"/>
  <c r="AD53" i="8" s="1"/>
  <c r="AE53" i="8" s="1"/>
  <c r="AC54" i="8"/>
  <c r="AD54" i="8" s="1"/>
  <c r="AE54" i="8" s="1"/>
  <c r="AC55" i="8"/>
  <c r="AD55" i="8" s="1"/>
  <c r="AE55" i="8" s="1"/>
  <c r="AF55" i="8" s="1"/>
  <c r="AC56" i="8"/>
  <c r="AD56" i="8" s="1"/>
  <c r="AE56" i="8" s="1"/>
  <c r="AC57" i="8"/>
  <c r="AD57" i="8" s="1"/>
  <c r="AE57" i="8" s="1"/>
  <c r="AC58" i="8"/>
  <c r="AD58" i="8" s="1"/>
  <c r="AE58" i="8" s="1"/>
  <c r="AC59" i="8"/>
  <c r="AD59" i="8" s="1"/>
  <c r="AE59" i="8" s="1"/>
  <c r="AF59" i="8" s="1"/>
  <c r="AC60" i="8"/>
  <c r="AD60" i="8" s="1"/>
  <c r="AE60" i="8" s="1"/>
  <c r="AC61" i="8"/>
  <c r="AD61" i="8" s="1"/>
  <c r="AE61" i="8" s="1"/>
  <c r="AC62" i="8"/>
  <c r="AD62" i="8" s="1"/>
  <c r="AE62" i="8" s="1"/>
  <c r="AC63" i="8"/>
  <c r="AD63" i="8"/>
  <c r="AE63" i="8" s="1"/>
  <c r="AC64" i="8"/>
  <c r="AD64" i="8" s="1"/>
  <c r="AE64" i="8" s="1"/>
  <c r="AC65" i="8"/>
  <c r="AD65" i="8" s="1"/>
  <c r="AE65" i="8" s="1"/>
  <c r="AC66" i="8"/>
  <c r="AD66" i="8" s="1"/>
  <c r="AE66" i="8" s="1"/>
  <c r="AC67" i="8"/>
  <c r="AD67" i="8" s="1"/>
  <c r="AC71" i="8"/>
  <c r="AD71" i="8" s="1"/>
  <c r="AE71" i="8" s="1"/>
  <c r="AC73" i="8"/>
  <c r="AD73" i="8" s="1"/>
  <c r="AE73" i="8" s="1"/>
  <c r="AC74" i="8"/>
  <c r="AD74" i="8" s="1"/>
  <c r="AE74" i="8" s="1"/>
  <c r="AC75" i="8"/>
  <c r="AD75" i="8"/>
  <c r="AE75" i="8" s="1"/>
  <c r="AC76" i="8"/>
  <c r="AD76" i="8" s="1"/>
  <c r="AE76" i="8" s="1"/>
  <c r="AC77" i="8"/>
  <c r="AD77" i="8" s="1"/>
  <c r="AE77" i="8" s="1"/>
  <c r="AC78" i="8"/>
  <c r="AD78" i="8" s="1"/>
  <c r="AE78" i="8" s="1"/>
  <c r="AC79" i="8"/>
  <c r="AD79" i="8" s="1"/>
  <c r="AE79" i="8" s="1"/>
  <c r="AF79" i="8" s="1"/>
  <c r="AC80" i="8"/>
  <c r="AD80" i="8" s="1"/>
  <c r="AE80" i="8" s="1"/>
  <c r="AC81" i="8"/>
  <c r="AD81" i="8" s="1"/>
  <c r="AE81" i="8" s="1"/>
  <c r="AC82" i="8"/>
  <c r="AD82" i="8" s="1"/>
  <c r="AE82" i="8" s="1"/>
  <c r="AC83" i="8"/>
  <c r="AD83" i="8" s="1"/>
  <c r="AE83" i="8" s="1"/>
  <c r="AF83" i="8" s="1"/>
  <c r="AC84" i="8"/>
  <c r="AD84" i="8" s="1"/>
  <c r="AE84" i="8" s="1"/>
  <c r="AC85" i="8"/>
  <c r="AD85" i="8" s="1"/>
  <c r="AG85" i="8" s="1"/>
  <c r="AH85" i="8" s="1"/>
  <c r="AI85" i="8" s="1"/>
  <c r="AC86" i="8"/>
  <c r="AD86" i="8" s="1"/>
  <c r="AG86" i="8" s="1"/>
  <c r="AH86" i="8" s="1"/>
  <c r="AI86" i="8" s="1"/>
  <c r="AC87" i="8"/>
  <c r="AD87" i="8" s="1"/>
  <c r="AC88" i="8"/>
  <c r="AD88" i="8" s="1"/>
  <c r="AG88" i="8" s="1"/>
  <c r="AH88" i="8" s="1"/>
  <c r="AI88" i="8" s="1"/>
  <c r="AC89" i="8"/>
  <c r="AD89" i="8" s="1"/>
  <c r="AG89" i="8" s="1"/>
  <c r="AH89" i="8" s="1"/>
  <c r="AI89" i="8" s="1"/>
  <c r="AC92" i="8"/>
  <c r="AD92" i="8" s="1"/>
  <c r="AE92" i="8" s="1"/>
  <c r="AC93" i="8"/>
  <c r="AD93" i="8"/>
  <c r="AE93" i="8" s="1"/>
  <c r="AC94" i="8"/>
  <c r="AD94" i="8" s="1"/>
  <c r="AE94" i="8" s="1"/>
  <c r="AC95" i="8"/>
  <c r="AD95" i="8" s="1"/>
  <c r="AE95" i="8" s="1"/>
  <c r="AC96" i="8"/>
  <c r="AD96" i="8" s="1"/>
  <c r="AE96" i="8" s="1"/>
  <c r="AC97" i="8"/>
  <c r="AD97" i="8" s="1"/>
  <c r="AE97" i="8" s="1"/>
  <c r="AF97" i="8" s="1"/>
  <c r="AC98" i="8"/>
  <c r="AD98" i="8" s="1"/>
  <c r="AE98" i="8" s="1"/>
  <c r="AC99" i="8"/>
  <c r="AD99" i="8" s="1"/>
  <c r="AE99" i="8" s="1"/>
  <c r="U59" i="8"/>
  <c r="T59" i="8"/>
  <c r="G20" i="8"/>
  <c r="G21" i="8"/>
  <c r="G22" i="8"/>
  <c r="G23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9" i="8"/>
  <c r="G40" i="8"/>
  <c r="G42" i="8"/>
  <c r="G43" i="8"/>
  <c r="G45" i="8"/>
  <c r="G46" i="8"/>
  <c r="G47" i="8"/>
  <c r="G48" i="8"/>
  <c r="G49" i="8"/>
  <c r="G50" i="8"/>
  <c r="G52" i="8"/>
  <c r="G53" i="8"/>
  <c r="G54" i="8"/>
  <c r="G55" i="8"/>
  <c r="G56" i="8"/>
  <c r="G57" i="8"/>
  <c r="G58" i="8"/>
  <c r="G60" i="8"/>
  <c r="G61" i="8"/>
  <c r="G62" i="8"/>
  <c r="G63" i="8"/>
  <c r="G64" i="8"/>
  <c r="G65" i="8"/>
  <c r="G66" i="8"/>
  <c r="G67" i="8"/>
  <c r="G73" i="8"/>
  <c r="G74" i="8"/>
  <c r="G76" i="8"/>
  <c r="G77" i="8"/>
  <c r="G78" i="8"/>
  <c r="G79" i="8"/>
  <c r="G80" i="8"/>
  <c r="G81" i="8"/>
  <c r="G82" i="8"/>
  <c r="G83" i="8"/>
  <c r="G84" i="8"/>
  <c r="G86" i="8"/>
  <c r="G87" i="8"/>
  <c r="G88" i="8"/>
  <c r="G89" i="8"/>
  <c r="G92" i="8"/>
  <c r="G93" i="8"/>
  <c r="G94" i="8"/>
  <c r="G96" i="8"/>
  <c r="G97" i="8"/>
  <c r="G98" i="8"/>
  <c r="G99" i="8"/>
  <c r="Q101" i="8"/>
  <c r="R19" i="8"/>
  <c r="S19" i="8"/>
  <c r="R20" i="8"/>
  <c r="S20" i="8"/>
  <c r="R21" i="8"/>
  <c r="S21" i="8" s="1"/>
  <c r="R22" i="8"/>
  <c r="S22" i="8" s="1"/>
  <c r="R24" i="8"/>
  <c r="S24" i="8" s="1"/>
  <c r="R25" i="8"/>
  <c r="S25" i="8" s="1"/>
  <c r="R27" i="8"/>
  <c r="S27" i="8" s="1"/>
  <c r="R28" i="8"/>
  <c r="S28" i="8" s="1"/>
  <c r="R29" i="8"/>
  <c r="S29" i="8" s="1"/>
  <c r="R30" i="8"/>
  <c r="S30" i="8" s="1"/>
  <c r="R31" i="8"/>
  <c r="S31" i="8" s="1"/>
  <c r="R32" i="8"/>
  <c r="S32" i="8" s="1"/>
  <c r="R33" i="8"/>
  <c r="S33" i="8" s="1"/>
  <c r="R34" i="8"/>
  <c r="S34" i="8" s="1"/>
  <c r="R35" i="8"/>
  <c r="S35" i="8" s="1"/>
  <c r="R36" i="8"/>
  <c r="S36" i="8" s="1"/>
  <c r="R37" i="8"/>
  <c r="S37" i="8" s="1"/>
  <c r="R39" i="8"/>
  <c r="S39" i="8" s="1"/>
  <c r="R40" i="8"/>
  <c r="S40" i="8" s="1"/>
  <c r="R41" i="8"/>
  <c r="S41" i="8" s="1"/>
  <c r="R43" i="8"/>
  <c r="S43" i="8" s="1"/>
  <c r="R44" i="8"/>
  <c r="S44" i="8" s="1"/>
  <c r="R45" i="8"/>
  <c r="S45" i="8" s="1"/>
  <c r="R46" i="8"/>
  <c r="S46" i="8" s="1"/>
  <c r="R47" i="8"/>
  <c r="S47" i="8" s="1"/>
  <c r="R48" i="8"/>
  <c r="S48" i="8" s="1"/>
  <c r="R49" i="8"/>
  <c r="S49" i="8" s="1"/>
  <c r="R50" i="8"/>
  <c r="S50" i="8" s="1"/>
  <c r="R51" i="8"/>
  <c r="S51" i="8" s="1"/>
  <c r="R52" i="8"/>
  <c r="S52" i="8" s="1"/>
  <c r="R53" i="8"/>
  <c r="S53" i="8" s="1"/>
  <c r="R54" i="8"/>
  <c r="S54" i="8" s="1"/>
  <c r="R55" i="8"/>
  <c r="S55" i="8" s="1"/>
  <c r="R56" i="8"/>
  <c r="S56" i="8" s="1"/>
  <c r="R57" i="8"/>
  <c r="S57" i="8" s="1"/>
  <c r="R58" i="8"/>
  <c r="S58" i="8" s="1"/>
  <c r="R59" i="8"/>
  <c r="S59" i="8" s="1"/>
  <c r="R60" i="8"/>
  <c r="S60" i="8" s="1"/>
  <c r="R61" i="8"/>
  <c r="S61" i="8" s="1"/>
  <c r="R62" i="8"/>
  <c r="S62" i="8" s="1"/>
  <c r="R63" i="8"/>
  <c r="S63" i="8" s="1"/>
  <c r="R64" i="8"/>
  <c r="S64" i="8" s="1"/>
  <c r="R65" i="8"/>
  <c r="S65" i="8" s="1"/>
  <c r="R66" i="8"/>
  <c r="S66" i="8" s="1"/>
  <c r="R67" i="8"/>
  <c r="S67" i="8" s="1"/>
  <c r="R70" i="8"/>
  <c r="S70" i="8" s="1"/>
  <c r="R73" i="8"/>
  <c r="S73" i="8" s="1"/>
  <c r="R74" i="8"/>
  <c r="S74" i="8" s="1"/>
  <c r="R75" i="8"/>
  <c r="S75" i="8" s="1"/>
  <c r="R76" i="8"/>
  <c r="S76" i="8" s="1"/>
  <c r="R77" i="8"/>
  <c r="S77" i="8" s="1"/>
  <c r="R78" i="8"/>
  <c r="S78" i="8" s="1"/>
  <c r="R79" i="8"/>
  <c r="S79" i="8" s="1"/>
  <c r="R80" i="8"/>
  <c r="S80" i="8" s="1"/>
  <c r="R81" i="8"/>
  <c r="S81" i="8" s="1"/>
  <c r="R82" i="8"/>
  <c r="S82" i="8" s="1"/>
  <c r="R83" i="8"/>
  <c r="S83" i="8" s="1"/>
  <c r="R84" i="8"/>
  <c r="S84" i="8" s="1"/>
  <c r="R85" i="8"/>
  <c r="S85" i="8" s="1"/>
  <c r="R86" i="8"/>
  <c r="S86" i="8" s="1"/>
  <c r="R87" i="8"/>
  <c r="S87" i="8" s="1"/>
  <c r="R88" i="8"/>
  <c r="S88" i="8" s="1"/>
  <c r="R89" i="8"/>
  <c r="S89" i="8" s="1"/>
  <c r="R92" i="8"/>
  <c r="S92" i="8" s="1"/>
  <c r="R93" i="8"/>
  <c r="S93" i="8" s="1"/>
  <c r="R94" i="8"/>
  <c r="S94" i="8" s="1"/>
  <c r="R96" i="8"/>
  <c r="S96" i="8" s="1"/>
  <c r="R97" i="8"/>
  <c r="S97" i="8" s="1"/>
  <c r="R98" i="8"/>
  <c r="S98" i="8" s="1"/>
  <c r="R99" i="8"/>
  <c r="S99" i="8" s="1"/>
  <c r="J77" i="8"/>
  <c r="K77" i="8" s="1"/>
  <c r="J74" i="8"/>
  <c r="J19" i="8"/>
  <c r="K19" i="8" s="1"/>
  <c r="J20" i="8"/>
  <c r="K20" i="8" s="1"/>
  <c r="J21" i="8"/>
  <c r="K21" i="8" s="1"/>
  <c r="J22" i="8"/>
  <c r="K22" i="8" s="1"/>
  <c r="J23" i="8"/>
  <c r="K23" i="8" s="1"/>
  <c r="J24" i="8"/>
  <c r="K24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N48" i="8" s="1"/>
  <c r="O48" i="8" s="1"/>
  <c r="P48" i="8" s="1"/>
  <c r="J49" i="8"/>
  <c r="K49" i="8"/>
  <c r="N49" i="8" s="1"/>
  <c r="O49" i="8" s="1"/>
  <c r="P49" i="8" s="1"/>
  <c r="J50" i="8"/>
  <c r="K50" i="8" s="1"/>
  <c r="N50" i="8" s="1"/>
  <c r="O50" i="8" s="1"/>
  <c r="P50" i="8" s="1"/>
  <c r="J51" i="8"/>
  <c r="K51" i="8" s="1"/>
  <c r="J52" i="8"/>
  <c r="K52" i="8" s="1"/>
  <c r="N52" i="8" s="1"/>
  <c r="O52" i="8" s="1"/>
  <c r="P52" i="8" s="1"/>
  <c r="J53" i="8"/>
  <c r="K53" i="8" s="1"/>
  <c r="N53" i="8" s="1"/>
  <c r="O53" i="8" s="1"/>
  <c r="P53" i="8" s="1"/>
  <c r="J54" i="8"/>
  <c r="K54" i="8"/>
  <c r="N54" i="8" s="1"/>
  <c r="O54" i="8" s="1"/>
  <c r="P54" i="8" s="1"/>
  <c r="J55" i="8"/>
  <c r="K55" i="8" s="1"/>
  <c r="N55" i="8" s="1"/>
  <c r="O55" i="8" s="1"/>
  <c r="P55" i="8" s="1"/>
  <c r="J56" i="8"/>
  <c r="K56" i="8" s="1"/>
  <c r="N56" i="8" s="1"/>
  <c r="O56" i="8" s="1"/>
  <c r="P56" i="8" s="1"/>
  <c r="J57" i="8"/>
  <c r="K57" i="8" s="1"/>
  <c r="N57" i="8" s="1"/>
  <c r="O57" i="8" s="1"/>
  <c r="P57" i="8" s="1"/>
  <c r="J58" i="8"/>
  <c r="K58" i="8" s="1"/>
  <c r="J59" i="8"/>
  <c r="K59" i="8" s="1"/>
  <c r="N59" i="8" s="1"/>
  <c r="O59" i="8" s="1"/>
  <c r="P59" i="8" s="1"/>
  <c r="J60" i="8"/>
  <c r="K60" i="8" s="1"/>
  <c r="N60" i="8" s="1"/>
  <c r="O60" i="8" s="1"/>
  <c r="P60" i="8" s="1"/>
  <c r="J61" i="8"/>
  <c r="K61" i="8" s="1"/>
  <c r="N61" i="8" s="1"/>
  <c r="O61" i="8" s="1"/>
  <c r="P61" i="8" s="1"/>
  <c r="J62" i="8"/>
  <c r="K62" i="8" s="1"/>
  <c r="J63" i="8"/>
  <c r="K63" i="8" s="1"/>
  <c r="N63" i="8" s="1"/>
  <c r="O63" i="8" s="1"/>
  <c r="P63" i="8" s="1"/>
  <c r="J64" i="8"/>
  <c r="K64" i="8" s="1"/>
  <c r="N64" i="8" s="1"/>
  <c r="O64" i="8" s="1"/>
  <c r="P64" i="8" s="1"/>
  <c r="J65" i="8"/>
  <c r="K65" i="8" s="1"/>
  <c r="N65" i="8" s="1"/>
  <c r="O65" i="8" s="1"/>
  <c r="P65" i="8" s="1"/>
  <c r="J66" i="8"/>
  <c r="K66" i="8"/>
  <c r="N66" i="8" s="1"/>
  <c r="O66" i="8" s="1"/>
  <c r="P66" i="8" s="1"/>
  <c r="J67" i="8"/>
  <c r="K67" i="8" s="1"/>
  <c r="N67" i="8" s="1"/>
  <c r="O67" i="8" s="1"/>
  <c r="P67" i="8" s="1"/>
  <c r="J73" i="8"/>
  <c r="K73" i="8" s="1"/>
  <c r="N73" i="8" s="1"/>
  <c r="O73" i="8" s="1"/>
  <c r="P73" i="8" s="1"/>
  <c r="K74" i="8"/>
  <c r="N74" i="8" s="1"/>
  <c r="O74" i="8" s="1"/>
  <c r="P74" i="8" s="1"/>
  <c r="J75" i="8"/>
  <c r="K75" i="8" s="1"/>
  <c r="J76" i="8"/>
  <c r="K76" i="8" s="1"/>
  <c r="N76" i="8" s="1"/>
  <c r="O76" i="8" s="1"/>
  <c r="P76" i="8" s="1"/>
  <c r="L77" i="8"/>
  <c r="M77" i="8" s="1"/>
  <c r="J78" i="8"/>
  <c r="K78" i="8" s="1"/>
  <c r="N78" i="8" s="1"/>
  <c r="O78" i="8" s="1"/>
  <c r="P78" i="8" s="1"/>
  <c r="J79" i="8"/>
  <c r="K79" i="8" s="1"/>
  <c r="N79" i="8" s="1"/>
  <c r="O79" i="8" s="1"/>
  <c r="P79" i="8" s="1"/>
  <c r="J80" i="8"/>
  <c r="K80" i="8" s="1"/>
  <c r="N80" i="8" s="1"/>
  <c r="O80" i="8" s="1"/>
  <c r="P80" i="8" s="1"/>
  <c r="J81" i="8"/>
  <c r="K81" i="8" s="1"/>
  <c r="J82" i="8"/>
  <c r="K82" i="8" s="1"/>
  <c r="N82" i="8" s="1"/>
  <c r="O82" i="8" s="1"/>
  <c r="P82" i="8" s="1"/>
  <c r="J83" i="8"/>
  <c r="K83" i="8" s="1"/>
  <c r="N83" i="8" s="1"/>
  <c r="O83" i="8" s="1"/>
  <c r="P83" i="8" s="1"/>
  <c r="J84" i="8"/>
  <c r="K84" i="8" s="1"/>
  <c r="N84" i="8" s="1"/>
  <c r="O84" i="8" s="1"/>
  <c r="P84" i="8" s="1"/>
  <c r="J85" i="8"/>
  <c r="K85" i="8" s="1"/>
  <c r="J86" i="8"/>
  <c r="K86" i="8" s="1"/>
  <c r="N86" i="8" s="1"/>
  <c r="O86" i="8" s="1"/>
  <c r="P86" i="8" s="1"/>
  <c r="J87" i="8"/>
  <c r="K87" i="8" s="1"/>
  <c r="N87" i="8" s="1"/>
  <c r="O87" i="8" s="1"/>
  <c r="P87" i="8" s="1"/>
  <c r="J88" i="8"/>
  <c r="K88" i="8" s="1"/>
  <c r="N88" i="8" s="1"/>
  <c r="O88" i="8" s="1"/>
  <c r="P88" i="8" s="1"/>
  <c r="J89" i="8"/>
  <c r="K89" i="8" s="1"/>
  <c r="J92" i="8"/>
  <c r="K92" i="8" s="1"/>
  <c r="N92" i="8" s="1"/>
  <c r="O92" i="8" s="1"/>
  <c r="P92" i="8" s="1"/>
  <c r="J93" i="8"/>
  <c r="K93" i="8" s="1"/>
  <c r="N93" i="8" s="1"/>
  <c r="O93" i="8" s="1"/>
  <c r="P93" i="8" s="1"/>
  <c r="J94" i="8"/>
  <c r="K94" i="8" s="1"/>
  <c r="N94" i="8" s="1"/>
  <c r="O94" i="8" s="1"/>
  <c r="P94" i="8" s="1"/>
  <c r="J96" i="8"/>
  <c r="K96" i="8"/>
  <c r="N96" i="8" s="1"/>
  <c r="O96" i="8" s="1"/>
  <c r="P96" i="8" s="1"/>
  <c r="J97" i="8"/>
  <c r="K97" i="8" s="1"/>
  <c r="N97" i="8" s="1"/>
  <c r="O97" i="8" s="1"/>
  <c r="P97" i="8" s="1"/>
  <c r="J98" i="8"/>
  <c r="K98" i="8" s="1"/>
  <c r="N98" i="8" s="1"/>
  <c r="O98" i="8" s="1"/>
  <c r="P98" i="8" s="1"/>
  <c r="J99" i="8"/>
  <c r="K99" i="8" s="1"/>
  <c r="N99" i="8" s="1"/>
  <c r="O99" i="8" s="1"/>
  <c r="Z101" i="8"/>
  <c r="V99" i="8"/>
  <c r="AG99" i="8" s="1"/>
  <c r="AH99" i="8" s="1"/>
  <c r="V98" i="8"/>
  <c r="AG98" i="8" s="1"/>
  <c r="AH98" i="8" s="1"/>
  <c r="V97" i="8"/>
  <c r="AO96" i="8"/>
  <c r="AO91" i="8" s="1"/>
  <c r="AO90" i="8" s="1"/>
  <c r="AJ96" i="8"/>
  <c r="AK96" i="8" s="1"/>
  <c r="AL96" i="8" s="1"/>
  <c r="V96" i="8"/>
  <c r="V95" i="8"/>
  <c r="Q95" i="8"/>
  <c r="Q91" i="8" s="1"/>
  <c r="I95" i="8"/>
  <c r="J95" i="8" s="1"/>
  <c r="K95" i="8" s="1"/>
  <c r="H95" i="8"/>
  <c r="G95" i="8" s="1"/>
  <c r="AP95" i="8" s="1"/>
  <c r="V94" i="8"/>
  <c r="AG94" i="8" s="1"/>
  <c r="AH94" i="8" s="1"/>
  <c r="AJ93" i="8"/>
  <c r="AK93" i="8" s="1"/>
  <c r="AL93" i="8" s="1"/>
  <c r="V93" i="8"/>
  <c r="V92" i="8"/>
  <c r="AG92" i="8" s="1"/>
  <c r="AH92" i="8" s="1"/>
  <c r="AB91" i="8"/>
  <c r="AB90" i="8" s="1"/>
  <c r="AA91" i="8"/>
  <c r="AA90" i="8" s="1"/>
  <c r="Z91" i="8"/>
  <c r="Z90" i="8" s="1"/>
  <c r="W91" i="8"/>
  <c r="AP87" i="8"/>
  <c r="AP86" i="8"/>
  <c r="H85" i="8"/>
  <c r="G85" i="8"/>
  <c r="AO84" i="8"/>
  <c r="AJ84" i="8"/>
  <c r="AK84" i="8" s="1"/>
  <c r="V84" i="8"/>
  <c r="V83" i="8"/>
  <c r="V82" i="8"/>
  <c r="AG82" i="8" s="1"/>
  <c r="AH82" i="8" s="1"/>
  <c r="V81" i="8"/>
  <c r="AG81" i="8" s="1"/>
  <c r="AH81" i="8" s="1"/>
  <c r="V80" i="8"/>
  <c r="AG80" i="8" s="1"/>
  <c r="AH80" i="8" s="1"/>
  <c r="V79" i="8"/>
  <c r="V78" i="8"/>
  <c r="AG78" i="8" s="1"/>
  <c r="AH78" i="8" s="1"/>
  <c r="V77" i="8"/>
  <c r="AP77" i="8" s="1"/>
  <c r="V76" i="8"/>
  <c r="AG76" i="8" s="1"/>
  <c r="AH76" i="8" s="1"/>
  <c r="V75" i="8"/>
  <c r="H75" i="8"/>
  <c r="G75" i="8" s="1"/>
  <c r="V74" i="8"/>
  <c r="AG74" i="8" s="1"/>
  <c r="AH74" i="8" s="1"/>
  <c r="V73" i="8"/>
  <c r="AO72" i="8"/>
  <c r="AJ72" i="8"/>
  <c r="AK72" i="8" s="1"/>
  <c r="AL72" i="8" s="1"/>
  <c r="AB72" i="8"/>
  <c r="AC72" i="8" s="1"/>
  <c r="AA72" i="8"/>
  <c r="Z72" i="8"/>
  <c r="W72" i="8"/>
  <c r="X72" i="8" s="1"/>
  <c r="Q72" i="8"/>
  <c r="R72" i="8" s="1"/>
  <c r="S72" i="8" s="1"/>
  <c r="I72" i="8"/>
  <c r="H72" i="8"/>
  <c r="G72" i="8" s="1"/>
  <c r="V71" i="8"/>
  <c r="AG71" i="8" s="1"/>
  <c r="AH71" i="8" s="1"/>
  <c r="Q71" i="8"/>
  <c r="R71" i="8" s="1"/>
  <c r="I71" i="8"/>
  <c r="J71" i="8"/>
  <c r="K71" i="8" s="1"/>
  <c r="H71" i="8"/>
  <c r="AO70" i="8"/>
  <c r="AO101" i="8" s="1"/>
  <c r="AJ70" i="8"/>
  <c r="AB70" i="8"/>
  <c r="AB101" i="8" s="1"/>
  <c r="AA70" i="8"/>
  <c r="W70" i="8"/>
  <c r="I70" i="8"/>
  <c r="I101" i="8" s="1"/>
  <c r="H70" i="8"/>
  <c r="H101" i="8" s="1"/>
  <c r="AO69" i="8"/>
  <c r="AO68" i="8" s="1"/>
  <c r="AJ69" i="8"/>
  <c r="AB69" i="8"/>
  <c r="AB68" i="8" s="1"/>
  <c r="AA69" i="8"/>
  <c r="AA68" i="8" s="1"/>
  <c r="Z69" i="8"/>
  <c r="Z68" i="8" s="1"/>
  <c r="W69" i="8"/>
  <c r="X69" i="8" s="1"/>
  <c r="Y69" i="8" s="1"/>
  <c r="Q69" i="8"/>
  <c r="Q68" i="8" s="1"/>
  <c r="R68" i="8" s="1"/>
  <c r="S68" i="8" s="1"/>
  <c r="I69" i="8"/>
  <c r="I68" i="8" s="1"/>
  <c r="H69" i="8"/>
  <c r="AO67" i="8"/>
  <c r="AJ67" i="8"/>
  <c r="AK67" i="8" s="1"/>
  <c r="V67" i="8"/>
  <c r="AJ66" i="8"/>
  <c r="AK66" i="8" s="1"/>
  <c r="AL66" i="8" s="1"/>
  <c r="V66" i="8"/>
  <c r="AJ65" i="8"/>
  <c r="AK65" i="8" s="1"/>
  <c r="V65" i="8"/>
  <c r="AJ64" i="8"/>
  <c r="AK64" i="8" s="1"/>
  <c r="AL64" i="8" s="1"/>
  <c r="V64" i="8"/>
  <c r="AJ63" i="8"/>
  <c r="AK63" i="8" s="1"/>
  <c r="V63" i="8"/>
  <c r="AO62" i="8"/>
  <c r="AJ62" i="8"/>
  <c r="AK62" i="8" s="1"/>
  <c r="AL62" i="8" s="1"/>
  <c r="V62" i="8"/>
  <c r="AG62" i="8" s="1"/>
  <c r="AH62" i="8" s="1"/>
  <c r="AJ61" i="8"/>
  <c r="AK61" i="8" s="1"/>
  <c r="V61" i="8"/>
  <c r="AP61" i="8" s="1"/>
  <c r="AO60" i="8"/>
  <c r="AJ60" i="8"/>
  <c r="AK60" i="8" s="1"/>
  <c r="AL60" i="8" s="1"/>
  <c r="V60" i="8"/>
  <c r="AO59" i="8"/>
  <c r="AJ59" i="8"/>
  <c r="AK59" i="8" s="1"/>
  <c r="AL59" i="8" s="1"/>
  <c r="V59" i="8"/>
  <c r="AJ58" i="8"/>
  <c r="AK58" i="8" s="1"/>
  <c r="AL58" i="8" s="1"/>
  <c r="V58" i="8"/>
  <c r="AJ57" i="8"/>
  <c r="AK57" i="8" s="1"/>
  <c r="AL57" i="8" s="1"/>
  <c r="V57" i="8"/>
  <c r="AJ56" i="8"/>
  <c r="AK56" i="8" s="1"/>
  <c r="V56" i="8"/>
  <c r="V55" i="8"/>
  <c r="V54" i="8"/>
  <c r="AG54" i="8" s="1"/>
  <c r="AH54" i="8" s="1"/>
  <c r="V53" i="8"/>
  <c r="AP53" i="8" s="1"/>
  <c r="AJ52" i="8"/>
  <c r="V52" i="8"/>
  <c r="V51" i="8"/>
  <c r="AG51" i="8" s="1"/>
  <c r="AH51" i="8" s="1"/>
  <c r="H51" i="8"/>
  <c r="V50" i="8"/>
  <c r="AG50" i="8" s="1"/>
  <c r="AH50" i="8" s="1"/>
  <c r="AO49" i="8"/>
  <c r="Z49" i="8"/>
  <c r="W49" i="8"/>
  <c r="V48" i="8"/>
  <c r="AG48" i="8" s="1"/>
  <c r="AH48" i="8" s="1"/>
  <c r="V47" i="8"/>
  <c r="AG47" i="8" s="1"/>
  <c r="AH47" i="8" s="1"/>
  <c r="V46" i="8"/>
  <c r="AG46" i="8" s="1"/>
  <c r="AH46" i="8" s="1"/>
  <c r="V45" i="8"/>
  <c r="AG45" i="8" s="1"/>
  <c r="AH45" i="8" s="1"/>
  <c r="V44" i="8"/>
  <c r="AG44" i="8" s="1"/>
  <c r="AH44" i="8" s="1"/>
  <c r="H44" i="8"/>
  <c r="V43" i="8"/>
  <c r="AG43" i="8" s="1"/>
  <c r="AH43" i="8" s="1"/>
  <c r="V42" i="8"/>
  <c r="AG42" i="8" s="1"/>
  <c r="AH42" i="8" s="1"/>
  <c r="Q42" i="8"/>
  <c r="R42" i="8" s="1"/>
  <c r="S42" i="8" s="1"/>
  <c r="AO41" i="8"/>
  <c r="AO17" i="8" s="1"/>
  <c r="AO102" i="8" s="1"/>
  <c r="AB41" i="8"/>
  <c r="AA41" i="8"/>
  <c r="AA17" i="8" s="1"/>
  <c r="W41" i="8"/>
  <c r="H41" i="8"/>
  <c r="G41" i="8" s="1"/>
  <c r="V40" i="8"/>
  <c r="V39" i="8"/>
  <c r="V38" i="8"/>
  <c r="Q38" i="8"/>
  <c r="R38" i="8"/>
  <c r="S38" i="8" s="1"/>
  <c r="I38" i="8"/>
  <c r="J38" i="8" s="1"/>
  <c r="K38" i="8" s="1"/>
  <c r="H38" i="8"/>
  <c r="G38" i="8"/>
  <c r="V37" i="8"/>
  <c r="V36" i="8"/>
  <c r="V35" i="8"/>
  <c r="AG35" i="8" s="1"/>
  <c r="AH35" i="8" s="1"/>
  <c r="V34" i="8"/>
  <c r="V33" i="8"/>
  <c r="AG33" i="8" s="1"/>
  <c r="AH33" i="8" s="1"/>
  <c r="V32" i="8"/>
  <c r="V31" i="8"/>
  <c r="AG31" i="8" s="1"/>
  <c r="AH31" i="8" s="1"/>
  <c r="V30" i="8"/>
  <c r="AG30" i="8" s="1"/>
  <c r="AH30" i="8" s="1"/>
  <c r="V29" i="8"/>
  <c r="AG29" i="8" s="1"/>
  <c r="AH29" i="8" s="1"/>
  <c r="V28" i="8"/>
  <c r="AG28" i="8" s="1"/>
  <c r="AH28" i="8" s="1"/>
  <c r="AP27" i="8"/>
  <c r="V26" i="8"/>
  <c r="Q26" i="8"/>
  <c r="R26" i="8" s="1"/>
  <c r="S26" i="8" s="1"/>
  <c r="V25" i="8"/>
  <c r="AG25" i="8"/>
  <c r="AH25" i="8" s="1"/>
  <c r="V24" i="8"/>
  <c r="AG24" i="8"/>
  <c r="AH24" i="8" s="1"/>
  <c r="H24" i="8"/>
  <c r="G24" i="8"/>
  <c r="W23" i="8"/>
  <c r="W14" i="8"/>
  <c r="W13" i="8" s="1"/>
  <c r="Q23" i="8"/>
  <c r="R23" i="8" s="1"/>
  <c r="S23" i="8" s="1"/>
  <c r="V22" i="8"/>
  <c r="AG22" i="8" s="1"/>
  <c r="AH22" i="8" s="1"/>
  <c r="V21" i="8"/>
  <c r="AG21" i="8" s="1"/>
  <c r="AH21" i="8" s="1"/>
  <c r="AP21" i="8"/>
  <c r="V20" i="8"/>
  <c r="V19" i="8"/>
  <c r="AG19" i="8" s="1"/>
  <c r="AH19" i="8" s="1"/>
  <c r="H19" i="8"/>
  <c r="V18" i="8"/>
  <c r="Q18" i="8"/>
  <c r="R18" i="8" s="1"/>
  <c r="I18" i="8"/>
  <c r="J18" i="8" s="1"/>
  <c r="H18" i="8"/>
  <c r="G18" i="8"/>
  <c r="Z17" i="8"/>
  <c r="Z102" i="8"/>
  <c r="Q17" i="8"/>
  <c r="I17" i="8"/>
  <c r="I102" i="8" s="1"/>
  <c r="H17" i="8"/>
  <c r="AO16" i="8"/>
  <c r="AJ16" i="8"/>
  <c r="AK16" i="8"/>
  <c r="AL16" i="8" s="1"/>
  <c r="AB16" i="8"/>
  <c r="AA16" i="8"/>
  <c r="Z16" i="8"/>
  <c r="W16" i="8"/>
  <c r="X16" i="8" s="1"/>
  <c r="Y16" i="8" s="1"/>
  <c r="V16" i="8"/>
  <c r="Q16" i="8"/>
  <c r="R16" i="8" s="1"/>
  <c r="S16" i="8" s="1"/>
  <c r="I16" i="8"/>
  <c r="H16" i="8"/>
  <c r="G16" i="8" s="1"/>
  <c r="AP16" i="8" s="1"/>
  <c r="V15" i="8"/>
  <c r="G15" i="8"/>
  <c r="AO14" i="8"/>
  <c r="AO13" i="8" s="1"/>
  <c r="AA14" i="8"/>
  <c r="Z14" i="8"/>
  <c r="Z13" i="8" s="1"/>
  <c r="Z100" i="8" s="1"/>
  <c r="Q14" i="8"/>
  <c r="Q13" i="8" s="1"/>
  <c r="H14" i="8"/>
  <c r="H13" i="8" s="1"/>
  <c r="AA13" i="8"/>
  <c r="I14" i="8"/>
  <c r="I13" i="8" s="1"/>
  <c r="AP15" i="8"/>
  <c r="AP24" i="8"/>
  <c r="AP33" i="8"/>
  <c r="AP38" i="8"/>
  <c r="AP46" i="8"/>
  <c r="AP47" i="8"/>
  <c r="AP48" i="8"/>
  <c r="AK52" i="8"/>
  <c r="AJ14" i="8"/>
  <c r="AJ13" i="8" s="1"/>
  <c r="AP73" i="8"/>
  <c r="AP74" i="8"/>
  <c r="AP81" i="8"/>
  <c r="AP82" i="8"/>
  <c r="AP83" i="8"/>
  <c r="I91" i="8"/>
  <c r="J91" i="8" s="1"/>
  <c r="K91" i="8" s="1"/>
  <c r="AG93" i="8"/>
  <c r="AH93" i="8" s="1"/>
  <c r="AP94" i="8"/>
  <c r="AP97" i="8"/>
  <c r="AP98" i="8"/>
  <c r="AP99" i="8"/>
  <c r="AD18" i="8"/>
  <c r="AG18" i="8" s="1"/>
  <c r="AH18" i="8" s="1"/>
  <c r="AC14" i="8"/>
  <c r="AC13" i="8" s="1"/>
  <c r="AF99" i="8"/>
  <c r="AF95" i="8"/>
  <c r="AF93" i="8"/>
  <c r="AF81" i="8"/>
  <c r="AF77" i="8"/>
  <c r="AF75" i="8"/>
  <c r="AF73" i="8"/>
  <c r="AF65" i="8"/>
  <c r="AF63" i="8"/>
  <c r="AF61" i="8"/>
  <c r="AF57" i="8"/>
  <c r="AF53" i="8"/>
  <c r="AF49" i="8"/>
  <c r="AF47" i="8"/>
  <c r="AF45" i="8"/>
  <c r="AF43" i="8"/>
  <c r="AF40" i="8"/>
  <c r="AF36" i="8"/>
  <c r="AF32" i="8"/>
  <c r="AF30" i="8"/>
  <c r="AF28" i="8"/>
  <c r="AF26" i="8"/>
  <c r="AF24" i="8"/>
  <c r="AF22" i="8"/>
  <c r="AF20" i="8"/>
  <c r="AF98" i="8"/>
  <c r="AF96" i="8"/>
  <c r="AF94" i="8"/>
  <c r="AF92" i="8"/>
  <c r="AF84" i="8"/>
  <c r="AF82" i="8"/>
  <c r="AF80" i="8"/>
  <c r="AF78" i="8"/>
  <c r="AF76" i="8"/>
  <c r="AF74" i="8"/>
  <c r="AF71" i="8"/>
  <c r="AF66" i="8"/>
  <c r="AF64" i="8"/>
  <c r="AF62" i="8"/>
  <c r="AF60" i="8"/>
  <c r="AF58" i="8"/>
  <c r="AF56" i="8"/>
  <c r="AF54" i="8"/>
  <c r="AF52" i="8"/>
  <c r="AF50" i="8"/>
  <c r="AF48" i="8"/>
  <c r="AF46" i="8"/>
  <c r="AF44" i="8"/>
  <c r="AF42" i="8"/>
  <c r="AF39" i="8"/>
  <c r="AF37" i="8"/>
  <c r="AF35" i="8"/>
  <c r="AF33" i="8"/>
  <c r="AF31" i="8"/>
  <c r="AF29" i="8"/>
  <c r="AF25" i="8"/>
  <c r="AF23" i="8"/>
  <c r="AF21" i="8"/>
  <c r="AF19" i="8"/>
  <c r="AP37" i="8"/>
  <c r="AG37" i="8"/>
  <c r="AH37" i="8" s="1"/>
  <c r="AP52" i="8"/>
  <c r="AG52" i="8"/>
  <c r="AH52" i="8" s="1"/>
  <c r="AP56" i="8"/>
  <c r="AG56" i="8"/>
  <c r="AH56" i="8" s="1"/>
  <c r="AP58" i="8"/>
  <c r="AG58" i="8"/>
  <c r="AH58" i="8" s="1"/>
  <c r="AJ68" i="8"/>
  <c r="AK68" i="8" s="1"/>
  <c r="AL68" i="8" s="1"/>
  <c r="AK69" i="8"/>
  <c r="AL69" i="8" s="1"/>
  <c r="AJ101" i="8"/>
  <c r="AK70" i="8"/>
  <c r="N51" i="8"/>
  <c r="O51" i="8" s="1"/>
  <c r="L99" i="8"/>
  <c r="L97" i="8"/>
  <c r="L93" i="8"/>
  <c r="L87" i="8"/>
  <c r="L83" i="8"/>
  <c r="R95" i="8"/>
  <c r="S95" i="8" s="1"/>
  <c r="R101" i="8"/>
  <c r="AP78" i="8"/>
  <c r="AP76" i="8"/>
  <c r="G70" i="8"/>
  <c r="AP67" i="8"/>
  <c r="G44" i="8"/>
  <c r="AP44" i="8"/>
  <c r="AP42" i="8"/>
  <c r="AP34" i="8"/>
  <c r="AP30" i="8"/>
  <c r="AP28" i="8"/>
  <c r="AP26" i="8"/>
  <c r="AP22" i="8"/>
  <c r="AP20" i="8"/>
  <c r="AE88" i="8"/>
  <c r="AE86" i="8"/>
  <c r="AE27" i="8"/>
  <c r="V23" i="8"/>
  <c r="X23" i="8"/>
  <c r="AP25" i="8"/>
  <c r="AP29" i="8"/>
  <c r="AP32" i="8"/>
  <c r="AP35" i="8"/>
  <c r="AP39" i="8"/>
  <c r="AG39" i="8"/>
  <c r="AH39" i="8" s="1"/>
  <c r="AP45" i="8"/>
  <c r="V49" i="8"/>
  <c r="X49" i="8"/>
  <c r="Y49" i="8"/>
  <c r="AP59" i="8"/>
  <c r="AG60" i="8"/>
  <c r="AH60" i="8" s="1"/>
  <c r="AG61" i="8"/>
  <c r="AH61" i="8"/>
  <c r="AI61" i="8" s="1"/>
  <c r="AP62" i="8"/>
  <c r="AG63" i="8"/>
  <c r="AH63" i="8" s="1"/>
  <c r="AI63" i="8" s="1"/>
  <c r="AG64" i="8"/>
  <c r="AH64" i="8" s="1"/>
  <c r="AG65" i="8"/>
  <c r="AH65" i="8" s="1"/>
  <c r="AI65" i="8" s="1"/>
  <c r="AG66" i="8"/>
  <c r="AH66" i="8" s="1"/>
  <c r="W68" i="8"/>
  <c r="X68" i="8" s="1"/>
  <c r="W101" i="8"/>
  <c r="X70" i="8"/>
  <c r="AP79" i="8"/>
  <c r="AG84" i="8"/>
  <c r="AH84" i="8" s="1"/>
  <c r="AI84" i="8" s="1"/>
  <c r="H91" i="8"/>
  <c r="W90" i="8"/>
  <c r="X90" i="8" s="1"/>
  <c r="Y90" i="8" s="1"/>
  <c r="X91" i="8"/>
  <c r="Y91" i="8" s="1"/>
  <c r="AJ91" i="8"/>
  <c r="AP92" i="8"/>
  <c r="AP93" i="8"/>
  <c r="AG96" i="8"/>
  <c r="AH96" i="8" s="1"/>
  <c r="N75" i="8"/>
  <c r="O75" i="8" s="1"/>
  <c r="J70" i="8"/>
  <c r="K70" i="8" s="1"/>
  <c r="L98" i="8"/>
  <c r="L96" i="8"/>
  <c r="L94" i="8"/>
  <c r="L92" i="8"/>
  <c r="L88" i="8"/>
  <c r="L86" i="8"/>
  <c r="L84" i="8"/>
  <c r="L82" i="8"/>
  <c r="G71" i="8"/>
  <c r="AP71" i="8" s="1"/>
  <c r="G51" i="8"/>
  <c r="AP51" i="8" s="1"/>
  <c r="G19" i="8"/>
  <c r="AP19" i="8" s="1"/>
  <c r="G17" i="8"/>
  <c r="AE89" i="8"/>
  <c r="AE85" i="8"/>
  <c r="AC69" i="8"/>
  <c r="AD69" i="8" s="1"/>
  <c r="AC16" i="8"/>
  <c r="AD16" i="8" s="1"/>
  <c r="AC41" i="8"/>
  <c r="AD41" i="8" s="1"/>
  <c r="AC91" i="8"/>
  <c r="AD91" i="8" s="1"/>
  <c r="AE91" i="8" s="1"/>
  <c r="Q102" i="8"/>
  <c r="AP36" i="8"/>
  <c r="AP40" i="8"/>
  <c r="AP63" i="8"/>
  <c r="AP65" i="8"/>
  <c r="AP80" i="8"/>
  <c r="AC70" i="8"/>
  <c r="R69" i="8"/>
  <c r="S69" i="8" s="1"/>
  <c r="R17" i="8"/>
  <c r="G101" i="8"/>
  <c r="AP57" i="8"/>
  <c r="AP64" i="8"/>
  <c r="AP66" i="8"/>
  <c r="L75" i="8"/>
  <c r="J72" i="8"/>
  <c r="K72" i="8" s="1"/>
  <c r="N47" i="8"/>
  <c r="O47" i="8" s="1"/>
  <c r="L47" i="8"/>
  <c r="N45" i="8"/>
  <c r="O45" i="8" s="1"/>
  <c r="L45" i="8"/>
  <c r="N43" i="8"/>
  <c r="O43" i="8" s="1"/>
  <c r="L43" i="8"/>
  <c r="N41" i="8"/>
  <c r="O41" i="8" s="1"/>
  <c r="L41" i="8"/>
  <c r="N39" i="8"/>
  <c r="O39" i="8" s="1"/>
  <c r="L39" i="8"/>
  <c r="N37" i="8"/>
  <c r="O37" i="8" s="1"/>
  <c r="L37" i="8"/>
  <c r="N35" i="8"/>
  <c r="O35" i="8" s="1"/>
  <c r="L35" i="8"/>
  <c r="N33" i="8"/>
  <c r="O33" i="8" s="1"/>
  <c r="L33" i="8"/>
  <c r="N31" i="8"/>
  <c r="O31" i="8" s="1"/>
  <c r="L31" i="8"/>
  <c r="N29" i="8"/>
  <c r="O29" i="8" s="1"/>
  <c r="L29" i="8"/>
  <c r="N27" i="8"/>
  <c r="O27" i="8" s="1"/>
  <c r="L27" i="8"/>
  <c r="N25" i="8"/>
  <c r="O25" i="8" s="1"/>
  <c r="L25" i="8"/>
  <c r="N23" i="8"/>
  <c r="O23" i="8" s="1"/>
  <c r="L23" i="8"/>
  <c r="N21" i="8"/>
  <c r="O21" i="8" s="1"/>
  <c r="L21" i="8"/>
  <c r="N19" i="8"/>
  <c r="O19" i="8" s="1"/>
  <c r="L19" i="8"/>
  <c r="K16" i="8"/>
  <c r="N16" i="8" s="1"/>
  <c r="O16" i="8" s="1"/>
  <c r="P16" i="8" s="1"/>
  <c r="L80" i="8"/>
  <c r="L78" i="8"/>
  <c r="L67" i="8"/>
  <c r="L65" i="8"/>
  <c r="L63" i="8"/>
  <c r="L61" i="8"/>
  <c r="T61" i="8" s="1"/>
  <c r="L59" i="8"/>
  <c r="M59" i="8" s="1"/>
  <c r="L57" i="8"/>
  <c r="L55" i="8"/>
  <c r="L53" i="8"/>
  <c r="L51" i="8"/>
  <c r="L49" i="8"/>
  <c r="V41" i="8"/>
  <c r="N46" i="8"/>
  <c r="O46" i="8" s="1"/>
  <c r="L46" i="8"/>
  <c r="N44" i="8"/>
  <c r="O44" i="8" s="1"/>
  <c r="L44" i="8"/>
  <c r="N42" i="8"/>
  <c r="O42" i="8" s="1"/>
  <c r="L42" i="8"/>
  <c r="N40" i="8"/>
  <c r="O40" i="8" s="1"/>
  <c r="L40" i="8"/>
  <c r="N36" i="8"/>
  <c r="O36" i="8" s="1"/>
  <c r="L36" i="8"/>
  <c r="N34" i="8"/>
  <c r="O34" i="8" s="1"/>
  <c r="L34" i="8"/>
  <c r="N32" i="8"/>
  <c r="O32" i="8" s="1"/>
  <c r="L32" i="8"/>
  <c r="N30" i="8"/>
  <c r="O30" i="8" s="1"/>
  <c r="L30" i="8"/>
  <c r="N28" i="8"/>
  <c r="O28" i="8" s="1"/>
  <c r="L28" i="8"/>
  <c r="N26" i="8"/>
  <c r="O26" i="8" s="1"/>
  <c r="L26" i="8"/>
  <c r="N24" i="8"/>
  <c r="O24" i="8" s="1"/>
  <c r="L24" i="8"/>
  <c r="N22" i="8"/>
  <c r="O22" i="8" s="1"/>
  <c r="L22" i="8"/>
  <c r="N20" i="8"/>
  <c r="O20" i="8" s="1"/>
  <c r="L20" i="8"/>
  <c r="J16" i="8"/>
  <c r="L79" i="8"/>
  <c r="L76" i="8"/>
  <c r="L73" i="8"/>
  <c r="L66" i="8"/>
  <c r="L64" i="8"/>
  <c r="L60" i="8"/>
  <c r="L56" i="8"/>
  <c r="L54" i="8"/>
  <c r="L52" i="8"/>
  <c r="L50" i="8"/>
  <c r="L48" i="8"/>
  <c r="N77" i="8"/>
  <c r="O77" i="8" s="1"/>
  <c r="L74" i="8"/>
  <c r="I90" i="8"/>
  <c r="J90" i="8" s="1"/>
  <c r="K90" i="8" s="1"/>
  <c r="J69" i="8"/>
  <c r="K69" i="8" s="1"/>
  <c r="J17" i="8"/>
  <c r="G14" i="8"/>
  <c r="G13" i="8" s="1"/>
  <c r="AP18" i="8"/>
  <c r="AP85" i="8"/>
  <c r="M90" i="7"/>
  <c r="L90" i="7"/>
  <c r="K90" i="7"/>
  <c r="I90" i="7"/>
  <c r="S89" i="7"/>
  <c r="Q89" i="7"/>
  <c r="U89" i="7" s="1"/>
  <c r="P89" i="7"/>
  <c r="T89" i="7" s="1"/>
  <c r="V89" i="7" s="1"/>
  <c r="N89" i="7"/>
  <c r="J89" i="7"/>
  <c r="S88" i="7"/>
  <c r="Q88" i="7"/>
  <c r="U88" i="7" s="1"/>
  <c r="P88" i="7"/>
  <c r="T88" i="7" s="1"/>
  <c r="N88" i="7"/>
  <c r="J88" i="7"/>
  <c r="S87" i="7"/>
  <c r="Q87" i="7"/>
  <c r="U87" i="7"/>
  <c r="P87" i="7"/>
  <c r="T87" i="7"/>
  <c r="N87" i="7"/>
  <c r="J87" i="7"/>
  <c r="S86" i="7"/>
  <c r="Q86" i="7"/>
  <c r="U86" i="7" s="1"/>
  <c r="P86" i="7"/>
  <c r="T86" i="7" s="1"/>
  <c r="V86" i="7" s="1"/>
  <c r="N86" i="7"/>
  <c r="J86" i="7"/>
  <c r="S85" i="7"/>
  <c r="Q85" i="7"/>
  <c r="U85" i="7" s="1"/>
  <c r="P85" i="7"/>
  <c r="T85" i="7" s="1"/>
  <c r="V85" i="7" s="1"/>
  <c r="N85" i="7"/>
  <c r="J85" i="7"/>
  <c r="S84" i="7"/>
  <c r="Q84" i="7"/>
  <c r="U84" i="7" s="1"/>
  <c r="P84" i="7"/>
  <c r="T84" i="7" s="1"/>
  <c r="N84" i="7"/>
  <c r="J84" i="7"/>
  <c r="S83" i="7"/>
  <c r="Q83" i="7"/>
  <c r="U83" i="7"/>
  <c r="P83" i="7"/>
  <c r="T83" i="7"/>
  <c r="N83" i="7"/>
  <c r="J83" i="7"/>
  <c r="S82" i="7"/>
  <c r="Q82" i="7"/>
  <c r="U82" i="7" s="1"/>
  <c r="P82" i="7"/>
  <c r="T82" i="7" s="1"/>
  <c r="V82" i="7" s="1"/>
  <c r="N82" i="7"/>
  <c r="J82" i="7"/>
  <c r="S81" i="7"/>
  <c r="Q81" i="7"/>
  <c r="U81" i="7" s="1"/>
  <c r="P81" i="7"/>
  <c r="T81" i="7" s="1"/>
  <c r="V81" i="7" s="1"/>
  <c r="N81" i="7"/>
  <c r="J81" i="7"/>
  <c r="S80" i="7"/>
  <c r="Q80" i="7"/>
  <c r="U80" i="7" s="1"/>
  <c r="P80" i="7"/>
  <c r="T80" i="7" s="1"/>
  <c r="N80" i="7"/>
  <c r="J80" i="7"/>
  <c r="S79" i="7"/>
  <c r="Q79" i="7"/>
  <c r="U79" i="7"/>
  <c r="P79" i="7"/>
  <c r="T79" i="7"/>
  <c r="N79" i="7"/>
  <c r="J79" i="7"/>
  <c r="S78" i="7"/>
  <c r="Q78" i="7"/>
  <c r="U78" i="7" s="1"/>
  <c r="P78" i="7"/>
  <c r="T78" i="7" s="1"/>
  <c r="V78" i="7" s="1"/>
  <c r="N78" i="7"/>
  <c r="J78" i="7"/>
  <c r="S77" i="7"/>
  <c r="Q77" i="7"/>
  <c r="U77" i="7" s="1"/>
  <c r="P77" i="7"/>
  <c r="T77" i="7" s="1"/>
  <c r="V77" i="7" s="1"/>
  <c r="N77" i="7"/>
  <c r="J77" i="7"/>
  <c r="S76" i="7"/>
  <c r="Q76" i="7"/>
  <c r="U76" i="7" s="1"/>
  <c r="P76" i="7"/>
  <c r="T76" i="7" s="1"/>
  <c r="N76" i="7"/>
  <c r="J76" i="7"/>
  <c r="S75" i="7"/>
  <c r="Q75" i="7"/>
  <c r="U75" i="7"/>
  <c r="P75" i="7"/>
  <c r="T75" i="7"/>
  <c r="N75" i="7"/>
  <c r="J75" i="7"/>
  <c r="S74" i="7"/>
  <c r="Q74" i="7"/>
  <c r="U74" i="7" s="1"/>
  <c r="P74" i="7"/>
  <c r="T74" i="7" s="1"/>
  <c r="V74" i="7" s="1"/>
  <c r="N74" i="7"/>
  <c r="J74" i="7"/>
  <c r="S73" i="7"/>
  <c r="Q73" i="7"/>
  <c r="U73" i="7" s="1"/>
  <c r="P73" i="7"/>
  <c r="T73" i="7" s="1"/>
  <c r="V73" i="7" s="1"/>
  <c r="N73" i="7"/>
  <c r="J73" i="7"/>
  <c r="S72" i="7"/>
  <c r="Q72" i="7"/>
  <c r="U72" i="7" s="1"/>
  <c r="P72" i="7"/>
  <c r="T72" i="7" s="1"/>
  <c r="N72" i="7"/>
  <c r="J72" i="7"/>
  <c r="S71" i="7"/>
  <c r="Q71" i="7"/>
  <c r="U71" i="7"/>
  <c r="P71" i="7"/>
  <c r="T71" i="7"/>
  <c r="N71" i="7"/>
  <c r="J71" i="7"/>
  <c r="S70" i="7"/>
  <c r="Q70" i="7"/>
  <c r="U70" i="7" s="1"/>
  <c r="P70" i="7"/>
  <c r="T70" i="7" s="1"/>
  <c r="V70" i="7" s="1"/>
  <c r="N70" i="7"/>
  <c r="J70" i="7"/>
  <c r="S69" i="7"/>
  <c r="Q69" i="7"/>
  <c r="U69" i="7" s="1"/>
  <c r="P69" i="7"/>
  <c r="T69" i="7" s="1"/>
  <c r="V69" i="7" s="1"/>
  <c r="N69" i="7"/>
  <c r="J69" i="7"/>
  <c r="S68" i="7"/>
  <c r="Q68" i="7"/>
  <c r="U68" i="7" s="1"/>
  <c r="P68" i="7"/>
  <c r="T68" i="7" s="1"/>
  <c r="N68" i="7"/>
  <c r="J68" i="7"/>
  <c r="S67" i="7"/>
  <c r="Q67" i="7"/>
  <c r="U67" i="7"/>
  <c r="P67" i="7"/>
  <c r="T67" i="7"/>
  <c r="N67" i="7"/>
  <c r="J67" i="7"/>
  <c r="S66" i="7"/>
  <c r="Q66" i="7"/>
  <c r="U66" i="7" s="1"/>
  <c r="P66" i="7"/>
  <c r="T66" i="7" s="1"/>
  <c r="V66" i="7" s="1"/>
  <c r="N66" i="7"/>
  <c r="J66" i="7"/>
  <c r="S65" i="7"/>
  <c r="Q65" i="7"/>
  <c r="U65" i="7" s="1"/>
  <c r="P65" i="7"/>
  <c r="T65" i="7" s="1"/>
  <c r="V65" i="7" s="1"/>
  <c r="N65" i="7"/>
  <c r="J65" i="7"/>
  <c r="S64" i="7"/>
  <c r="Q64" i="7"/>
  <c r="U64" i="7" s="1"/>
  <c r="P64" i="7"/>
  <c r="T64" i="7" s="1"/>
  <c r="N64" i="7"/>
  <c r="J64" i="7"/>
  <c r="S63" i="7"/>
  <c r="Q63" i="7"/>
  <c r="U63" i="7"/>
  <c r="P63" i="7"/>
  <c r="T63" i="7"/>
  <c r="N63" i="7"/>
  <c r="J63" i="7"/>
  <c r="S62" i="7"/>
  <c r="Q62" i="7"/>
  <c r="U62" i="7" s="1"/>
  <c r="P62" i="7"/>
  <c r="T62" i="7" s="1"/>
  <c r="V62" i="7" s="1"/>
  <c r="N62" i="7"/>
  <c r="J62" i="7"/>
  <c r="S61" i="7"/>
  <c r="Q61" i="7"/>
  <c r="U61" i="7" s="1"/>
  <c r="P61" i="7"/>
  <c r="T61" i="7" s="1"/>
  <c r="V61" i="7" s="1"/>
  <c r="N61" i="7"/>
  <c r="J61" i="7"/>
  <c r="S60" i="7"/>
  <c r="Q60" i="7"/>
  <c r="U60" i="7"/>
  <c r="P60" i="7"/>
  <c r="T60" i="7"/>
  <c r="N60" i="7"/>
  <c r="J60" i="7"/>
  <c r="S59" i="7"/>
  <c r="Q59" i="7"/>
  <c r="U59" i="7" s="1"/>
  <c r="P59" i="7"/>
  <c r="T59" i="7" s="1"/>
  <c r="V59" i="7" s="1"/>
  <c r="N59" i="7"/>
  <c r="J59" i="7"/>
  <c r="S58" i="7"/>
  <c r="Q58" i="7"/>
  <c r="U58" i="7" s="1"/>
  <c r="P58" i="7"/>
  <c r="T58" i="7" s="1"/>
  <c r="V58" i="7" s="1"/>
  <c r="N58" i="7"/>
  <c r="J58" i="7"/>
  <c r="S57" i="7"/>
  <c r="Q57" i="7"/>
  <c r="U57" i="7" s="1"/>
  <c r="P57" i="7"/>
  <c r="T57" i="7" s="1"/>
  <c r="V57" i="7" s="1"/>
  <c r="N57" i="7"/>
  <c r="J57" i="7"/>
  <c r="S56" i="7"/>
  <c r="Q56" i="7"/>
  <c r="U56" i="7"/>
  <c r="P56" i="7"/>
  <c r="T56" i="7"/>
  <c r="N56" i="7"/>
  <c r="J56" i="7"/>
  <c r="S55" i="7"/>
  <c r="Q55" i="7"/>
  <c r="U55" i="7" s="1"/>
  <c r="P55" i="7"/>
  <c r="T55" i="7" s="1"/>
  <c r="V55" i="7" s="1"/>
  <c r="N55" i="7"/>
  <c r="J55" i="7"/>
  <c r="S54" i="7"/>
  <c r="Q54" i="7"/>
  <c r="U54" i="7" s="1"/>
  <c r="P54" i="7"/>
  <c r="T54" i="7" s="1"/>
  <c r="V54" i="7" s="1"/>
  <c r="N54" i="7"/>
  <c r="J54" i="7"/>
  <c r="S53" i="7"/>
  <c r="Q53" i="7"/>
  <c r="U53" i="7" s="1"/>
  <c r="P53" i="7"/>
  <c r="T53" i="7" s="1"/>
  <c r="V53" i="7" s="1"/>
  <c r="N53" i="7"/>
  <c r="J53" i="7"/>
  <c r="S52" i="7"/>
  <c r="Q52" i="7"/>
  <c r="U52" i="7"/>
  <c r="P52" i="7"/>
  <c r="T52" i="7"/>
  <c r="N52" i="7"/>
  <c r="J52" i="7"/>
  <c r="S51" i="7"/>
  <c r="Q51" i="7"/>
  <c r="U51" i="7" s="1"/>
  <c r="P51" i="7"/>
  <c r="T51" i="7" s="1"/>
  <c r="V51" i="7" s="1"/>
  <c r="N51" i="7"/>
  <c r="J51" i="7"/>
  <c r="S50" i="7"/>
  <c r="Q50" i="7"/>
  <c r="U50" i="7" s="1"/>
  <c r="P50" i="7"/>
  <c r="T50" i="7" s="1"/>
  <c r="V50" i="7" s="1"/>
  <c r="N50" i="7"/>
  <c r="J50" i="7"/>
  <c r="S49" i="7"/>
  <c r="Q49" i="7"/>
  <c r="U49" i="7" s="1"/>
  <c r="P49" i="7"/>
  <c r="T49" i="7" s="1"/>
  <c r="V49" i="7" s="1"/>
  <c r="N49" i="7"/>
  <c r="J49" i="7"/>
  <c r="S48" i="7"/>
  <c r="Q48" i="7"/>
  <c r="U48" i="7"/>
  <c r="P48" i="7"/>
  <c r="T48" i="7"/>
  <c r="N48" i="7"/>
  <c r="J48" i="7"/>
  <c r="S47" i="7"/>
  <c r="Q47" i="7"/>
  <c r="U47" i="7" s="1"/>
  <c r="P47" i="7"/>
  <c r="T47" i="7" s="1"/>
  <c r="V47" i="7" s="1"/>
  <c r="N47" i="7"/>
  <c r="J47" i="7"/>
  <c r="S46" i="7"/>
  <c r="Q46" i="7"/>
  <c r="U46" i="7" s="1"/>
  <c r="P46" i="7"/>
  <c r="T46" i="7" s="1"/>
  <c r="V46" i="7" s="1"/>
  <c r="N46" i="7"/>
  <c r="J46" i="7"/>
  <c r="S45" i="7"/>
  <c r="Q45" i="7"/>
  <c r="U45" i="7" s="1"/>
  <c r="P45" i="7"/>
  <c r="T45" i="7" s="1"/>
  <c r="V45" i="7" s="1"/>
  <c r="N45" i="7"/>
  <c r="J45" i="7"/>
  <c r="S44" i="7"/>
  <c r="Q44" i="7"/>
  <c r="U44" i="7"/>
  <c r="P44" i="7"/>
  <c r="T44" i="7"/>
  <c r="N44" i="7"/>
  <c r="J44" i="7"/>
  <c r="S43" i="7"/>
  <c r="Q43" i="7"/>
  <c r="U43" i="7" s="1"/>
  <c r="P43" i="7"/>
  <c r="T43" i="7" s="1"/>
  <c r="V43" i="7" s="1"/>
  <c r="N43" i="7"/>
  <c r="J43" i="7"/>
  <c r="S42" i="7"/>
  <c r="Q42" i="7"/>
  <c r="U42" i="7" s="1"/>
  <c r="P42" i="7"/>
  <c r="T42" i="7" s="1"/>
  <c r="V42" i="7" s="1"/>
  <c r="N42" i="7"/>
  <c r="J42" i="7"/>
  <c r="S41" i="7"/>
  <c r="Q41" i="7"/>
  <c r="U41" i="7" s="1"/>
  <c r="P41" i="7"/>
  <c r="T41" i="7" s="1"/>
  <c r="V41" i="7" s="1"/>
  <c r="N41" i="7"/>
  <c r="J41" i="7"/>
  <c r="S40" i="7"/>
  <c r="Q40" i="7"/>
  <c r="U40" i="7"/>
  <c r="P40" i="7"/>
  <c r="T40" i="7"/>
  <c r="N40" i="7"/>
  <c r="J40" i="7"/>
  <c r="S39" i="7"/>
  <c r="Q39" i="7"/>
  <c r="U39" i="7" s="1"/>
  <c r="P39" i="7"/>
  <c r="T39" i="7" s="1"/>
  <c r="V39" i="7" s="1"/>
  <c r="N39" i="7"/>
  <c r="J39" i="7"/>
  <c r="S38" i="7"/>
  <c r="Q38" i="7"/>
  <c r="U38" i="7" s="1"/>
  <c r="P38" i="7"/>
  <c r="T38" i="7" s="1"/>
  <c r="V38" i="7" s="1"/>
  <c r="N38" i="7"/>
  <c r="J38" i="7"/>
  <c r="S37" i="7"/>
  <c r="Q37" i="7"/>
  <c r="U37" i="7" s="1"/>
  <c r="P37" i="7"/>
  <c r="T37" i="7" s="1"/>
  <c r="V37" i="7" s="1"/>
  <c r="N37" i="7"/>
  <c r="J37" i="7"/>
  <c r="S36" i="7"/>
  <c r="Q36" i="7"/>
  <c r="U36" i="7"/>
  <c r="P36" i="7"/>
  <c r="T36" i="7"/>
  <c r="N36" i="7"/>
  <c r="J36" i="7"/>
  <c r="S35" i="7"/>
  <c r="Q35" i="7"/>
  <c r="U35" i="7" s="1"/>
  <c r="P35" i="7"/>
  <c r="T35" i="7" s="1"/>
  <c r="V35" i="7" s="1"/>
  <c r="N35" i="7"/>
  <c r="J35" i="7"/>
  <c r="S34" i="7"/>
  <c r="Q34" i="7"/>
  <c r="U34" i="7" s="1"/>
  <c r="P34" i="7"/>
  <c r="T34" i="7" s="1"/>
  <c r="V34" i="7" s="1"/>
  <c r="N34" i="7"/>
  <c r="J34" i="7"/>
  <c r="S33" i="7"/>
  <c r="Q33" i="7"/>
  <c r="U33" i="7" s="1"/>
  <c r="P33" i="7"/>
  <c r="T33" i="7" s="1"/>
  <c r="V33" i="7" s="1"/>
  <c r="N33" i="7"/>
  <c r="J33" i="7"/>
  <c r="S32" i="7"/>
  <c r="Q32" i="7"/>
  <c r="U32" i="7"/>
  <c r="P32" i="7"/>
  <c r="T32" i="7"/>
  <c r="N32" i="7"/>
  <c r="J32" i="7"/>
  <c r="S31" i="7"/>
  <c r="Q31" i="7"/>
  <c r="U31" i="7" s="1"/>
  <c r="P31" i="7"/>
  <c r="T31" i="7" s="1"/>
  <c r="V31" i="7" s="1"/>
  <c r="N31" i="7"/>
  <c r="J31" i="7"/>
  <c r="S30" i="7"/>
  <c r="Q30" i="7"/>
  <c r="U30" i="7" s="1"/>
  <c r="P30" i="7"/>
  <c r="T30" i="7" s="1"/>
  <c r="V30" i="7" s="1"/>
  <c r="N30" i="7"/>
  <c r="J30" i="7"/>
  <c r="S29" i="7"/>
  <c r="Q29" i="7"/>
  <c r="U29" i="7" s="1"/>
  <c r="P29" i="7"/>
  <c r="T29" i="7" s="1"/>
  <c r="V29" i="7" s="1"/>
  <c r="N29" i="7"/>
  <c r="J29" i="7"/>
  <c r="S28" i="7"/>
  <c r="Q28" i="7"/>
  <c r="U28" i="7"/>
  <c r="P28" i="7"/>
  <c r="T28" i="7"/>
  <c r="N28" i="7"/>
  <c r="J28" i="7"/>
  <c r="S27" i="7"/>
  <c r="Q27" i="7"/>
  <c r="U27" i="7" s="1"/>
  <c r="P27" i="7"/>
  <c r="T27" i="7" s="1"/>
  <c r="V27" i="7" s="1"/>
  <c r="N27" i="7"/>
  <c r="J27" i="7"/>
  <c r="S26" i="7"/>
  <c r="Q26" i="7"/>
  <c r="U26" i="7" s="1"/>
  <c r="P26" i="7"/>
  <c r="T26" i="7" s="1"/>
  <c r="V26" i="7" s="1"/>
  <c r="N26" i="7"/>
  <c r="J26" i="7"/>
  <c r="S25" i="7"/>
  <c r="Q25" i="7"/>
  <c r="U25" i="7" s="1"/>
  <c r="P25" i="7"/>
  <c r="T25" i="7" s="1"/>
  <c r="V25" i="7" s="1"/>
  <c r="N25" i="7"/>
  <c r="J25" i="7"/>
  <c r="S24" i="7"/>
  <c r="Q24" i="7"/>
  <c r="U24" i="7"/>
  <c r="P24" i="7"/>
  <c r="T24" i="7"/>
  <c r="N24" i="7"/>
  <c r="J24" i="7"/>
  <c r="S23" i="7"/>
  <c r="Q23" i="7"/>
  <c r="U23" i="7" s="1"/>
  <c r="P23" i="7"/>
  <c r="T23" i="7" s="1"/>
  <c r="V23" i="7" s="1"/>
  <c r="N23" i="7"/>
  <c r="J23" i="7"/>
  <c r="S22" i="7"/>
  <c r="Q22" i="7"/>
  <c r="U22" i="7" s="1"/>
  <c r="P22" i="7"/>
  <c r="T22" i="7" s="1"/>
  <c r="V22" i="7" s="1"/>
  <c r="N22" i="7"/>
  <c r="J22" i="7"/>
  <c r="N13" i="7"/>
  <c r="N12" i="7"/>
  <c r="H90" i="7"/>
  <c r="N11" i="7"/>
  <c r="J11" i="7"/>
  <c r="M90" i="6"/>
  <c r="L90" i="6"/>
  <c r="D11" i="5"/>
  <c r="I90" i="6"/>
  <c r="H90" i="6"/>
  <c r="C18" i="5" s="1"/>
  <c r="C22" i="5" s="1"/>
  <c r="G90" i="6"/>
  <c r="C11" i="5" s="1"/>
  <c r="S89" i="6"/>
  <c r="Q89" i="6"/>
  <c r="U89" i="6" s="1"/>
  <c r="P89" i="6"/>
  <c r="T89" i="6" s="1"/>
  <c r="V89" i="6" s="1"/>
  <c r="N89" i="6"/>
  <c r="J89" i="6"/>
  <c r="S88" i="6"/>
  <c r="Q88" i="6"/>
  <c r="U88" i="6" s="1"/>
  <c r="P88" i="6"/>
  <c r="T88" i="6" s="1"/>
  <c r="V88" i="6" s="1"/>
  <c r="N88" i="6"/>
  <c r="J88" i="6"/>
  <c r="S87" i="6"/>
  <c r="Q87" i="6"/>
  <c r="U87" i="6" s="1"/>
  <c r="P87" i="6"/>
  <c r="T87" i="6" s="1"/>
  <c r="V87" i="6" s="1"/>
  <c r="N87" i="6"/>
  <c r="J87" i="6"/>
  <c r="S86" i="6"/>
  <c r="Q86" i="6"/>
  <c r="U86" i="6" s="1"/>
  <c r="P86" i="6"/>
  <c r="T86" i="6" s="1"/>
  <c r="V86" i="6" s="1"/>
  <c r="N86" i="6"/>
  <c r="J86" i="6"/>
  <c r="S85" i="6"/>
  <c r="Q85" i="6"/>
  <c r="U85" i="6" s="1"/>
  <c r="P85" i="6"/>
  <c r="T85" i="6" s="1"/>
  <c r="V85" i="6" s="1"/>
  <c r="N85" i="6"/>
  <c r="J85" i="6"/>
  <c r="S84" i="6"/>
  <c r="Q84" i="6"/>
  <c r="U84" i="6"/>
  <c r="P84" i="6"/>
  <c r="T84" i="6"/>
  <c r="N84" i="6"/>
  <c r="J84" i="6"/>
  <c r="S83" i="6"/>
  <c r="Q83" i="6"/>
  <c r="U83" i="6" s="1"/>
  <c r="P83" i="6"/>
  <c r="T83" i="6" s="1"/>
  <c r="V83" i="6" s="1"/>
  <c r="N83" i="6"/>
  <c r="J83" i="6"/>
  <c r="S82" i="6"/>
  <c r="Q82" i="6"/>
  <c r="U82" i="6" s="1"/>
  <c r="P82" i="6"/>
  <c r="T82" i="6" s="1"/>
  <c r="V82" i="6" s="1"/>
  <c r="N82" i="6"/>
  <c r="J82" i="6"/>
  <c r="S81" i="6"/>
  <c r="Q81" i="6"/>
  <c r="U81" i="6" s="1"/>
  <c r="P81" i="6"/>
  <c r="T81" i="6" s="1"/>
  <c r="V81" i="6" s="1"/>
  <c r="N81" i="6"/>
  <c r="J81" i="6"/>
  <c r="S80" i="6"/>
  <c r="Q80" i="6"/>
  <c r="U80" i="6"/>
  <c r="P80" i="6"/>
  <c r="T80" i="6"/>
  <c r="N80" i="6"/>
  <c r="J80" i="6"/>
  <c r="S79" i="6"/>
  <c r="Q79" i="6"/>
  <c r="U79" i="6" s="1"/>
  <c r="P79" i="6"/>
  <c r="T79" i="6" s="1"/>
  <c r="V79" i="6" s="1"/>
  <c r="N79" i="6"/>
  <c r="J79" i="6"/>
  <c r="S78" i="6"/>
  <c r="Q78" i="6"/>
  <c r="U78" i="6" s="1"/>
  <c r="P78" i="6"/>
  <c r="T78" i="6" s="1"/>
  <c r="V78" i="6" s="1"/>
  <c r="N78" i="6"/>
  <c r="J78" i="6"/>
  <c r="S77" i="6"/>
  <c r="Q77" i="6"/>
  <c r="U77" i="6" s="1"/>
  <c r="P77" i="6"/>
  <c r="T77" i="6" s="1"/>
  <c r="V77" i="6" s="1"/>
  <c r="N77" i="6"/>
  <c r="J77" i="6"/>
  <c r="S76" i="6"/>
  <c r="Q76" i="6"/>
  <c r="U76" i="6"/>
  <c r="P76" i="6"/>
  <c r="T76" i="6"/>
  <c r="N76" i="6"/>
  <c r="J76" i="6"/>
  <c r="S75" i="6"/>
  <c r="Q75" i="6"/>
  <c r="U75" i="6" s="1"/>
  <c r="P75" i="6"/>
  <c r="T75" i="6" s="1"/>
  <c r="V75" i="6" s="1"/>
  <c r="N75" i="6"/>
  <c r="J75" i="6"/>
  <c r="S74" i="6"/>
  <c r="Q74" i="6"/>
  <c r="U74" i="6" s="1"/>
  <c r="P74" i="6"/>
  <c r="T74" i="6" s="1"/>
  <c r="V74" i="6" s="1"/>
  <c r="N74" i="6"/>
  <c r="J74" i="6"/>
  <c r="S73" i="6"/>
  <c r="Q73" i="6"/>
  <c r="U73" i="6" s="1"/>
  <c r="P73" i="6"/>
  <c r="T73" i="6" s="1"/>
  <c r="V73" i="6" s="1"/>
  <c r="N73" i="6"/>
  <c r="J73" i="6"/>
  <c r="S72" i="6"/>
  <c r="Q72" i="6"/>
  <c r="U72" i="6"/>
  <c r="P72" i="6"/>
  <c r="T72" i="6"/>
  <c r="N72" i="6"/>
  <c r="J72" i="6"/>
  <c r="S71" i="6"/>
  <c r="Q71" i="6"/>
  <c r="U71" i="6" s="1"/>
  <c r="P71" i="6"/>
  <c r="T71" i="6" s="1"/>
  <c r="V71" i="6" s="1"/>
  <c r="N71" i="6"/>
  <c r="J71" i="6"/>
  <c r="S70" i="6"/>
  <c r="Q70" i="6"/>
  <c r="U70" i="6" s="1"/>
  <c r="P70" i="6"/>
  <c r="T70" i="6" s="1"/>
  <c r="V70" i="6" s="1"/>
  <c r="N70" i="6"/>
  <c r="J70" i="6"/>
  <c r="S69" i="6"/>
  <c r="Q69" i="6"/>
  <c r="U69" i="6" s="1"/>
  <c r="P69" i="6"/>
  <c r="T69" i="6" s="1"/>
  <c r="V69" i="6" s="1"/>
  <c r="N69" i="6"/>
  <c r="J69" i="6"/>
  <c r="S68" i="6"/>
  <c r="Q68" i="6"/>
  <c r="U68" i="6"/>
  <c r="P68" i="6"/>
  <c r="T68" i="6"/>
  <c r="N68" i="6"/>
  <c r="J68" i="6"/>
  <c r="S67" i="6"/>
  <c r="Q67" i="6"/>
  <c r="U67" i="6" s="1"/>
  <c r="P67" i="6"/>
  <c r="T67" i="6" s="1"/>
  <c r="V67" i="6" s="1"/>
  <c r="N67" i="6"/>
  <c r="J67" i="6"/>
  <c r="S66" i="6"/>
  <c r="Q66" i="6"/>
  <c r="U66" i="6" s="1"/>
  <c r="P66" i="6"/>
  <c r="T66" i="6" s="1"/>
  <c r="V66" i="6" s="1"/>
  <c r="N66" i="6"/>
  <c r="J66" i="6"/>
  <c r="S65" i="6"/>
  <c r="Q65" i="6"/>
  <c r="U65" i="6" s="1"/>
  <c r="P65" i="6"/>
  <c r="T65" i="6" s="1"/>
  <c r="V65" i="6" s="1"/>
  <c r="N65" i="6"/>
  <c r="J65" i="6"/>
  <c r="S64" i="6"/>
  <c r="Q64" i="6"/>
  <c r="U64" i="6"/>
  <c r="P64" i="6"/>
  <c r="T64" i="6"/>
  <c r="N64" i="6"/>
  <c r="J64" i="6"/>
  <c r="S63" i="6"/>
  <c r="Q63" i="6"/>
  <c r="U63" i="6" s="1"/>
  <c r="P63" i="6"/>
  <c r="T63" i="6" s="1"/>
  <c r="V63" i="6" s="1"/>
  <c r="N63" i="6"/>
  <c r="J63" i="6"/>
  <c r="S62" i="6"/>
  <c r="Q62" i="6"/>
  <c r="U62" i="6" s="1"/>
  <c r="P62" i="6"/>
  <c r="T62" i="6" s="1"/>
  <c r="V62" i="6" s="1"/>
  <c r="N62" i="6"/>
  <c r="J62" i="6"/>
  <c r="S61" i="6"/>
  <c r="Q61" i="6"/>
  <c r="U61" i="6" s="1"/>
  <c r="P61" i="6"/>
  <c r="T61" i="6" s="1"/>
  <c r="V61" i="6" s="1"/>
  <c r="N61" i="6"/>
  <c r="J61" i="6"/>
  <c r="S60" i="6"/>
  <c r="Q60" i="6"/>
  <c r="U60" i="6"/>
  <c r="P60" i="6"/>
  <c r="T60" i="6"/>
  <c r="N60" i="6"/>
  <c r="J60" i="6"/>
  <c r="S59" i="6"/>
  <c r="Q59" i="6"/>
  <c r="U59" i="6" s="1"/>
  <c r="P59" i="6"/>
  <c r="T59" i="6" s="1"/>
  <c r="V59" i="6" s="1"/>
  <c r="N59" i="6"/>
  <c r="J59" i="6"/>
  <c r="S58" i="6"/>
  <c r="Q58" i="6"/>
  <c r="U58" i="6" s="1"/>
  <c r="P58" i="6"/>
  <c r="T58" i="6" s="1"/>
  <c r="V58" i="6" s="1"/>
  <c r="N58" i="6"/>
  <c r="J58" i="6"/>
  <c r="S57" i="6"/>
  <c r="Q57" i="6"/>
  <c r="U57" i="6" s="1"/>
  <c r="P57" i="6"/>
  <c r="T57" i="6" s="1"/>
  <c r="V57" i="6" s="1"/>
  <c r="N57" i="6"/>
  <c r="J57" i="6"/>
  <c r="S56" i="6"/>
  <c r="Q56" i="6"/>
  <c r="U56" i="6"/>
  <c r="P56" i="6"/>
  <c r="T56" i="6"/>
  <c r="N56" i="6"/>
  <c r="J56" i="6"/>
  <c r="S55" i="6"/>
  <c r="Q55" i="6"/>
  <c r="U55" i="6" s="1"/>
  <c r="P55" i="6"/>
  <c r="T55" i="6" s="1"/>
  <c r="V55" i="6" s="1"/>
  <c r="N55" i="6"/>
  <c r="J55" i="6"/>
  <c r="S54" i="6"/>
  <c r="Q54" i="6"/>
  <c r="U54" i="6" s="1"/>
  <c r="P54" i="6"/>
  <c r="T54" i="6" s="1"/>
  <c r="V54" i="6" s="1"/>
  <c r="N54" i="6"/>
  <c r="J54" i="6"/>
  <c r="S53" i="6"/>
  <c r="Q53" i="6"/>
  <c r="U53" i="6" s="1"/>
  <c r="P53" i="6"/>
  <c r="T53" i="6" s="1"/>
  <c r="V53" i="6" s="1"/>
  <c r="N53" i="6"/>
  <c r="J53" i="6"/>
  <c r="S52" i="6"/>
  <c r="Q52" i="6"/>
  <c r="U52" i="6"/>
  <c r="P52" i="6"/>
  <c r="T52" i="6"/>
  <c r="N52" i="6"/>
  <c r="J52" i="6"/>
  <c r="S51" i="6"/>
  <c r="Q51" i="6"/>
  <c r="U51" i="6" s="1"/>
  <c r="P51" i="6"/>
  <c r="N51" i="6"/>
  <c r="J51" i="6"/>
  <c r="S50" i="6"/>
  <c r="Q50" i="6"/>
  <c r="U50" i="6" s="1"/>
  <c r="P50" i="6"/>
  <c r="T50" i="6" s="1"/>
  <c r="V50" i="6" s="1"/>
  <c r="N50" i="6"/>
  <c r="J50" i="6"/>
  <c r="S49" i="6"/>
  <c r="Q49" i="6"/>
  <c r="U49" i="6" s="1"/>
  <c r="P49" i="6"/>
  <c r="T49" i="6" s="1"/>
  <c r="V49" i="6" s="1"/>
  <c r="N49" i="6"/>
  <c r="J49" i="6"/>
  <c r="S48" i="6"/>
  <c r="Q48" i="6"/>
  <c r="U48" i="6" s="1"/>
  <c r="P48" i="6"/>
  <c r="T48" i="6" s="1"/>
  <c r="V48" i="6" s="1"/>
  <c r="N48" i="6"/>
  <c r="J48" i="6"/>
  <c r="S47" i="6"/>
  <c r="Q47" i="6"/>
  <c r="U47" i="6" s="1"/>
  <c r="P47" i="6"/>
  <c r="T47" i="6" s="1"/>
  <c r="V47" i="6" s="1"/>
  <c r="N47" i="6"/>
  <c r="J47" i="6"/>
  <c r="S46" i="6"/>
  <c r="Q46" i="6"/>
  <c r="U46" i="6" s="1"/>
  <c r="P46" i="6"/>
  <c r="T46" i="6" s="1"/>
  <c r="V46" i="6" s="1"/>
  <c r="N46" i="6"/>
  <c r="J46" i="6"/>
  <c r="S45" i="6"/>
  <c r="Q45" i="6"/>
  <c r="U45" i="6" s="1"/>
  <c r="P45" i="6"/>
  <c r="T45" i="6" s="1"/>
  <c r="V45" i="6" s="1"/>
  <c r="N45" i="6"/>
  <c r="J45" i="6"/>
  <c r="S44" i="6"/>
  <c r="Q44" i="6"/>
  <c r="U44" i="6" s="1"/>
  <c r="P44" i="6"/>
  <c r="T44" i="6" s="1"/>
  <c r="V44" i="6" s="1"/>
  <c r="N44" i="6"/>
  <c r="J44" i="6"/>
  <c r="S43" i="6"/>
  <c r="Q43" i="6"/>
  <c r="U43" i="6" s="1"/>
  <c r="P43" i="6"/>
  <c r="T43" i="6" s="1"/>
  <c r="V43" i="6" s="1"/>
  <c r="N43" i="6"/>
  <c r="J43" i="6"/>
  <c r="S42" i="6"/>
  <c r="Q42" i="6"/>
  <c r="U42" i="6" s="1"/>
  <c r="P42" i="6"/>
  <c r="T42" i="6" s="1"/>
  <c r="V42" i="6" s="1"/>
  <c r="N42" i="6"/>
  <c r="J42" i="6"/>
  <c r="S41" i="6"/>
  <c r="Q41" i="6"/>
  <c r="U41" i="6" s="1"/>
  <c r="P41" i="6"/>
  <c r="T41" i="6" s="1"/>
  <c r="V41" i="6" s="1"/>
  <c r="N41" i="6"/>
  <c r="J41" i="6"/>
  <c r="S40" i="6"/>
  <c r="Q40" i="6"/>
  <c r="U40" i="6" s="1"/>
  <c r="P40" i="6"/>
  <c r="T40" i="6" s="1"/>
  <c r="V40" i="6" s="1"/>
  <c r="N40" i="6"/>
  <c r="J40" i="6"/>
  <c r="S39" i="6"/>
  <c r="Q39" i="6"/>
  <c r="U39" i="6" s="1"/>
  <c r="P39" i="6"/>
  <c r="T39" i="6" s="1"/>
  <c r="V39" i="6" s="1"/>
  <c r="N39" i="6"/>
  <c r="J39" i="6"/>
  <c r="S38" i="6"/>
  <c r="Q38" i="6"/>
  <c r="U38" i="6" s="1"/>
  <c r="P38" i="6"/>
  <c r="T38" i="6" s="1"/>
  <c r="V38" i="6" s="1"/>
  <c r="N38" i="6"/>
  <c r="J38" i="6"/>
  <c r="S37" i="6"/>
  <c r="Q37" i="6"/>
  <c r="U37" i="6" s="1"/>
  <c r="P37" i="6"/>
  <c r="T37" i="6" s="1"/>
  <c r="V37" i="6" s="1"/>
  <c r="N37" i="6"/>
  <c r="J37" i="6"/>
  <c r="S36" i="6"/>
  <c r="Q36" i="6"/>
  <c r="U36" i="6" s="1"/>
  <c r="P36" i="6"/>
  <c r="T36" i="6" s="1"/>
  <c r="V36" i="6" s="1"/>
  <c r="N36" i="6"/>
  <c r="J36" i="6"/>
  <c r="S35" i="6"/>
  <c r="Q35" i="6"/>
  <c r="U35" i="6" s="1"/>
  <c r="P35" i="6"/>
  <c r="T35" i="6" s="1"/>
  <c r="V35" i="6" s="1"/>
  <c r="N35" i="6"/>
  <c r="J35" i="6"/>
  <c r="S34" i="6"/>
  <c r="Q34" i="6"/>
  <c r="U34" i="6" s="1"/>
  <c r="P34" i="6"/>
  <c r="T34" i="6" s="1"/>
  <c r="V34" i="6" s="1"/>
  <c r="N34" i="6"/>
  <c r="J34" i="6"/>
  <c r="S33" i="6"/>
  <c r="Q33" i="6"/>
  <c r="U33" i="6" s="1"/>
  <c r="P33" i="6"/>
  <c r="T33" i="6" s="1"/>
  <c r="V33" i="6" s="1"/>
  <c r="N33" i="6"/>
  <c r="J33" i="6"/>
  <c r="S32" i="6"/>
  <c r="Q32" i="6"/>
  <c r="U32" i="6" s="1"/>
  <c r="P32" i="6"/>
  <c r="T32" i="6" s="1"/>
  <c r="V32" i="6" s="1"/>
  <c r="N32" i="6"/>
  <c r="J32" i="6"/>
  <c r="S31" i="6"/>
  <c r="Q31" i="6"/>
  <c r="U31" i="6" s="1"/>
  <c r="P31" i="6"/>
  <c r="T31" i="6" s="1"/>
  <c r="V31" i="6" s="1"/>
  <c r="N31" i="6"/>
  <c r="J31" i="6"/>
  <c r="S30" i="6"/>
  <c r="Q30" i="6"/>
  <c r="U30" i="6" s="1"/>
  <c r="P30" i="6"/>
  <c r="T30" i="6" s="1"/>
  <c r="V30" i="6" s="1"/>
  <c r="N30" i="6"/>
  <c r="J30" i="6"/>
  <c r="S29" i="6"/>
  <c r="Q29" i="6"/>
  <c r="U29" i="6" s="1"/>
  <c r="P29" i="6"/>
  <c r="T29" i="6" s="1"/>
  <c r="V29" i="6" s="1"/>
  <c r="N29" i="6"/>
  <c r="J29" i="6"/>
  <c r="S28" i="6"/>
  <c r="Q28" i="6"/>
  <c r="U28" i="6" s="1"/>
  <c r="P28" i="6"/>
  <c r="T28" i="6" s="1"/>
  <c r="V28" i="6" s="1"/>
  <c r="N28" i="6"/>
  <c r="J28" i="6"/>
  <c r="S27" i="6"/>
  <c r="Q27" i="6"/>
  <c r="U27" i="6" s="1"/>
  <c r="P27" i="6"/>
  <c r="T27" i="6" s="1"/>
  <c r="V27" i="6" s="1"/>
  <c r="N27" i="6"/>
  <c r="J27" i="6"/>
  <c r="S26" i="6"/>
  <c r="Q26" i="6"/>
  <c r="U26" i="6" s="1"/>
  <c r="P26" i="6"/>
  <c r="T26" i="6" s="1"/>
  <c r="V26" i="6" s="1"/>
  <c r="N26" i="6"/>
  <c r="J26" i="6"/>
  <c r="S25" i="6"/>
  <c r="Q25" i="6"/>
  <c r="U25" i="6" s="1"/>
  <c r="P25" i="6"/>
  <c r="T25" i="6" s="1"/>
  <c r="V25" i="6" s="1"/>
  <c r="N25" i="6"/>
  <c r="J25" i="6"/>
  <c r="S24" i="6"/>
  <c r="Q24" i="6"/>
  <c r="U24" i="6" s="1"/>
  <c r="P24" i="6"/>
  <c r="T24" i="6" s="1"/>
  <c r="V24" i="6" s="1"/>
  <c r="N24" i="6"/>
  <c r="J24" i="6"/>
  <c r="S23" i="6"/>
  <c r="Q23" i="6"/>
  <c r="U23" i="6" s="1"/>
  <c r="P23" i="6"/>
  <c r="T23" i="6" s="1"/>
  <c r="V23" i="6" s="1"/>
  <c r="N23" i="6"/>
  <c r="J23" i="6"/>
  <c r="S22" i="6"/>
  <c r="Q22" i="6"/>
  <c r="U22" i="6" s="1"/>
  <c r="P22" i="6"/>
  <c r="T22" i="6" s="1"/>
  <c r="V22" i="6" s="1"/>
  <c r="N22" i="6"/>
  <c r="J22" i="6"/>
  <c r="N21" i="6"/>
  <c r="J21" i="6"/>
  <c r="Q20" i="6"/>
  <c r="U20" i="6" s="1"/>
  <c r="P20" i="6"/>
  <c r="T20" i="6" s="1"/>
  <c r="V20" i="6" s="1"/>
  <c r="N20" i="6"/>
  <c r="J20" i="6"/>
  <c r="Q19" i="6"/>
  <c r="U19" i="6" s="1"/>
  <c r="P19" i="6"/>
  <c r="T19" i="6" s="1"/>
  <c r="N19" i="6"/>
  <c r="J19" i="6"/>
  <c r="N18" i="6"/>
  <c r="J18" i="6"/>
  <c r="N17" i="6"/>
  <c r="J17" i="6"/>
  <c r="N16" i="6"/>
  <c r="J16" i="6"/>
  <c r="N15" i="6"/>
  <c r="J15" i="6"/>
  <c r="N14" i="6"/>
  <c r="J14" i="6"/>
  <c r="N13" i="6"/>
  <c r="J13" i="6"/>
  <c r="N12" i="6"/>
  <c r="J12" i="6"/>
  <c r="N11" i="6"/>
  <c r="N90" i="6" s="1"/>
  <c r="J11" i="6"/>
  <c r="R20" i="6"/>
  <c r="N90" i="7"/>
  <c r="G90" i="7"/>
  <c r="Y23" i="8"/>
  <c r="X14" i="8"/>
  <c r="X13" i="8" s="1"/>
  <c r="AE18" i="8"/>
  <c r="AL52" i="8"/>
  <c r="J90" i="6"/>
  <c r="R19" i="6"/>
  <c r="J13" i="7"/>
  <c r="J101" i="8"/>
  <c r="AF85" i="8"/>
  <c r="AN85" i="8"/>
  <c r="AM85" i="8"/>
  <c r="AF89" i="8"/>
  <c r="AN89" i="8" s="1"/>
  <c r="AM89" i="8"/>
  <c r="M84" i="8"/>
  <c r="U84" i="8" s="1"/>
  <c r="T84" i="8"/>
  <c r="M88" i="8"/>
  <c r="U88" i="8" s="1"/>
  <c r="T88" i="8"/>
  <c r="M94" i="8"/>
  <c r="U94" i="8" s="1"/>
  <c r="T94" i="8"/>
  <c r="M98" i="8"/>
  <c r="U98" i="8" s="1"/>
  <c r="T98" i="8"/>
  <c r="AJ90" i="8"/>
  <c r="AK91" i="8"/>
  <c r="AL91" i="8" s="1"/>
  <c r="AG49" i="8"/>
  <c r="AH49" i="8" s="1"/>
  <c r="AP49" i="8"/>
  <c r="AF27" i="8"/>
  <c r="AM27" i="8"/>
  <c r="AF88" i="8"/>
  <c r="AN88" i="8" s="1"/>
  <c r="AM88" i="8"/>
  <c r="M83" i="8"/>
  <c r="U83" i="8" s="1"/>
  <c r="T83" i="8"/>
  <c r="M97" i="8"/>
  <c r="U97" i="8" s="1"/>
  <c r="T97" i="8"/>
  <c r="AL70" i="8"/>
  <c r="M74" i="8"/>
  <c r="U74" i="8"/>
  <c r="T74" i="8"/>
  <c r="V17" i="8"/>
  <c r="M82" i="8"/>
  <c r="U82" i="8"/>
  <c r="T82" i="8"/>
  <c r="M86" i="8"/>
  <c r="U86" i="8" s="1"/>
  <c r="T86" i="8"/>
  <c r="M92" i="8"/>
  <c r="U92" i="8" s="1"/>
  <c r="T92" i="8"/>
  <c r="M96" i="8"/>
  <c r="U96" i="8" s="1"/>
  <c r="T96" i="8"/>
  <c r="G91" i="8"/>
  <c r="H90" i="8"/>
  <c r="Y70" i="8"/>
  <c r="Y101" i="8" s="1"/>
  <c r="X101" i="8"/>
  <c r="V14" i="8"/>
  <c r="V13" i="8" s="1"/>
  <c r="AG23" i="8"/>
  <c r="AP23" i="8"/>
  <c r="AF86" i="8"/>
  <c r="AN86" i="8" s="1"/>
  <c r="AM86" i="8"/>
  <c r="M87" i="8"/>
  <c r="U87" i="8" s="1"/>
  <c r="T87" i="8"/>
  <c r="M93" i="8"/>
  <c r="U93" i="8" s="1"/>
  <c r="T93" i="8"/>
  <c r="M99" i="8"/>
  <c r="AD70" i="8"/>
  <c r="AC101" i="8"/>
  <c r="J102" i="8"/>
  <c r="M50" i="8"/>
  <c r="U50" i="8" s="1"/>
  <c r="T50" i="8"/>
  <c r="M54" i="8"/>
  <c r="U54" i="8" s="1"/>
  <c r="T54" i="8"/>
  <c r="M66" i="8"/>
  <c r="U66" i="8" s="1"/>
  <c r="T66" i="8"/>
  <c r="M73" i="8"/>
  <c r="U73" i="8" s="1"/>
  <c r="T73" i="8"/>
  <c r="M79" i="8"/>
  <c r="U79" i="8" s="1"/>
  <c r="T79" i="8"/>
  <c r="M51" i="8"/>
  <c r="M55" i="8"/>
  <c r="U55" i="8" s="1"/>
  <c r="T55" i="8"/>
  <c r="M63" i="8"/>
  <c r="U63" i="8" s="1"/>
  <c r="T63" i="8"/>
  <c r="M67" i="8"/>
  <c r="U67" i="8" s="1"/>
  <c r="T67" i="8"/>
  <c r="M78" i="8"/>
  <c r="U78" i="8" s="1"/>
  <c r="T78" i="8"/>
  <c r="M75" i="8"/>
  <c r="M48" i="8"/>
  <c r="U48" i="8" s="1"/>
  <c r="T48" i="8"/>
  <c r="M52" i="8"/>
  <c r="U52" i="8" s="1"/>
  <c r="T52" i="8"/>
  <c r="M56" i="8"/>
  <c r="U56" i="8" s="1"/>
  <c r="T56" i="8"/>
  <c r="M60" i="8"/>
  <c r="U60" i="8" s="1"/>
  <c r="T60" i="8"/>
  <c r="M64" i="8"/>
  <c r="U64" i="8" s="1"/>
  <c r="T64" i="8"/>
  <c r="M76" i="8"/>
  <c r="U76" i="8" s="1"/>
  <c r="T76" i="8"/>
  <c r="M20" i="8"/>
  <c r="M22" i="8"/>
  <c r="M24" i="8"/>
  <c r="M26" i="8"/>
  <c r="M28" i="8"/>
  <c r="M30" i="8"/>
  <c r="M32" i="8"/>
  <c r="M34" i="8"/>
  <c r="M36" i="8"/>
  <c r="M40" i="8"/>
  <c r="M42" i="8"/>
  <c r="M44" i="8"/>
  <c r="M46" i="8"/>
  <c r="M49" i="8"/>
  <c r="U49" i="8" s="1"/>
  <c r="T49" i="8"/>
  <c r="M53" i="8"/>
  <c r="U53" i="8" s="1"/>
  <c r="T53" i="8"/>
  <c r="M57" i="8"/>
  <c r="U57" i="8" s="1"/>
  <c r="T57" i="8"/>
  <c r="M65" i="8"/>
  <c r="U65" i="8" s="1"/>
  <c r="T65" i="8"/>
  <c r="M80" i="8"/>
  <c r="U80" i="8" s="1"/>
  <c r="T80" i="8"/>
  <c r="M19" i="8"/>
  <c r="M21" i="8"/>
  <c r="M23" i="8"/>
  <c r="M25" i="8"/>
  <c r="M27" i="8"/>
  <c r="M29" i="8"/>
  <c r="M31" i="8"/>
  <c r="M33" i="8"/>
  <c r="M35" i="8"/>
  <c r="M37" i="8"/>
  <c r="M39" i="8"/>
  <c r="M41" i="8"/>
  <c r="M43" i="8"/>
  <c r="M45" i="8"/>
  <c r="M47" i="8"/>
  <c r="S17" i="8"/>
  <c r="M61" i="8"/>
  <c r="L16" i="8"/>
  <c r="K17" i="8"/>
  <c r="N17" i="8" s="1"/>
  <c r="R23" i="7"/>
  <c r="R25" i="7"/>
  <c r="R27" i="7"/>
  <c r="R29" i="7"/>
  <c r="R31" i="7"/>
  <c r="R33" i="7"/>
  <c r="R35" i="7"/>
  <c r="R37" i="7"/>
  <c r="R39" i="7"/>
  <c r="R41" i="7"/>
  <c r="R43" i="7"/>
  <c r="R45" i="7"/>
  <c r="R47" i="7"/>
  <c r="R49" i="7"/>
  <c r="R51" i="7"/>
  <c r="J12" i="7"/>
  <c r="J90" i="7" s="1"/>
  <c r="R22" i="7"/>
  <c r="R24" i="7"/>
  <c r="R26" i="7"/>
  <c r="R28" i="7"/>
  <c r="R30" i="7"/>
  <c r="R32" i="7"/>
  <c r="R34" i="7"/>
  <c r="R36" i="7"/>
  <c r="R38" i="7"/>
  <c r="R40" i="7"/>
  <c r="R42" i="7"/>
  <c r="R44" i="7"/>
  <c r="R46" i="7"/>
  <c r="R48" i="7"/>
  <c r="R50" i="7"/>
  <c r="R52" i="7"/>
  <c r="R54" i="7"/>
  <c r="V63" i="7"/>
  <c r="V67" i="7"/>
  <c r="V71" i="7"/>
  <c r="V75" i="7"/>
  <c r="V79" i="7"/>
  <c r="V83" i="7"/>
  <c r="V87" i="7"/>
  <c r="R56" i="7"/>
  <c r="R58" i="7"/>
  <c r="R60" i="7"/>
  <c r="R62" i="7"/>
  <c r="R64" i="7"/>
  <c r="R66" i="7"/>
  <c r="R68" i="7"/>
  <c r="R70" i="7"/>
  <c r="R72" i="7"/>
  <c r="R74" i="7"/>
  <c r="R76" i="7"/>
  <c r="R78" i="7"/>
  <c r="R80" i="7"/>
  <c r="R82" i="7"/>
  <c r="R84" i="7"/>
  <c r="R86" i="7"/>
  <c r="R88" i="7"/>
  <c r="R53" i="7"/>
  <c r="R55" i="7"/>
  <c r="R57" i="7"/>
  <c r="R59" i="7"/>
  <c r="R61" i="7"/>
  <c r="R63" i="7"/>
  <c r="R65" i="7"/>
  <c r="R67" i="7"/>
  <c r="R69" i="7"/>
  <c r="R71" i="7"/>
  <c r="R73" i="7"/>
  <c r="R75" i="7"/>
  <c r="R77" i="7"/>
  <c r="R79" i="7"/>
  <c r="R81" i="7"/>
  <c r="R83" i="7"/>
  <c r="R85" i="7"/>
  <c r="R87" i="7"/>
  <c r="R89" i="7"/>
  <c r="V19" i="6"/>
  <c r="R22" i="6"/>
  <c r="R24" i="6"/>
  <c r="R26" i="6"/>
  <c r="R28" i="6"/>
  <c r="R30" i="6"/>
  <c r="R32" i="6"/>
  <c r="R34" i="6"/>
  <c r="R36" i="6"/>
  <c r="R38" i="6"/>
  <c r="R40" i="6"/>
  <c r="R42" i="6"/>
  <c r="R44" i="6"/>
  <c r="R46" i="6"/>
  <c r="R48" i="6"/>
  <c r="R50" i="6"/>
  <c r="R23" i="6"/>
  <c r="R25" i="6"/>
  <c r="R27" i="6"/>
  <c r="R29" i="6"/>
  <c r="R31" i="6"/>
  <c r="R33" i="6"/>
  <c r="R35" i="6"/>
  <c r="R37" i="6"/>
  <c r="R39" i="6"/>
  <c r="R41" i="6"/>
  <c r="R43" i="6"/>
  <c r="R45" i="6"/>
  <c r="R47" i="6"/>
  <c r="R49" i="6"/>
  <c r="T51" i="6"/>
  <c r="R51" i="6"/>
  <c r="V51" i="6"/>
  <c r="R52" i="6"/>
  <c r="R54" i="6"/>
  <c r="R56" i="6"/>
  <c r="R58" i="6"/>
  <c r="R60" i="6"/>
  <c r="R62" i="6"/>
  <c r="R64" i="6"/>
  <c r="R66" i="6"/>
  <c r="R68" i="6"/>
  <c r="R70" i="6"/>
  <c r="R72" i="6"/>
  <c r="R74" i="6"/>
  <c r="R76" i="6"/>
  <c r="R78" i="6"/>
  <c r="R80" i="6"/>
  <c r="R82" i="6"/>
  <c r="R84" i="6"/>
  <c r="R86" i="6"/>
  <c r="R88" i="6"/>
  <c r="R53" i="6"/>
  <c r="R55" i="6"/>
  <c r="R57" i="6"/>
  <c r="R59" i="6"/>
  <c r="R61" i="6"/>
  <c r="R63" i="6"/>
  <c r="R65" i="6"/>
  <c r="R67" i="6"/>
  <c r="R69" i="6"/>
  <c r="R71" i="6"/>
  <c r="R73" i="6"/>
  <c r="R75" i="6"/>
  <c r="R77" i="6"/>
  <c r="R79" i="6"/>
  <c r="R81" i="6"/>
  <c r="R83" i="6"/>
  <c r="R85" i="6"/>
  <c r="R87" i="6"/>
  <c r="R89" i="6"/>
  <c r="F24" i="5"/>
  <c r="E24" i="5"/>
  <c r="W110" i="11" s="1"/>
  <c r="D24" i="5"/>
  <c r="C24" i="5"/>
  <c r="AF18" i="8"/>
  <c r="AH23" i="8"/>
  <c r="G90" i="8"/>
  <c r="AP17" i="8"/>
  <c r="AN27" i="8"/>
  <c r="AK90" i="8"/>
  <c r="AD101" i="8"/>
  <c r="AE70" i="8"/>
  <c r="AE101" i="8" s="1"/>
  <c r="M16" i="8"/>
  <c r="U61" i="8"/>
  <c r="L17" i="8"/>
  <c r="M17" i="8" s="1"/>
  <c r="AL90" i="8"/>
  <c r="AI23" i="8"/>
  <c r="AN23" i="8" s="1"/>
  <c r="AM23" i="8"/>
  <c r="AF70" i="8"/>
  <c r="AF101" i="8" s="1"/>
  <c r="V24" i="7" l="1"/>
  <c r="V28" i="7"/>
  <c r="V32" i="7"/>
  <c r="V36" i="7"/>
  <c r="V40" i="7"/>
  <c r="V44" i="7"/>
  <c r="V48" i="7"/>
  <c r="V52" i="7"/>
  <c r="V56" i="7"/>
  <c r="V60" i="7"/>
  <c r="V64" i="7"/>
  <c r="V68" i="7"/>
  <c r="V72" i="7"/>
  <c r="V76" i="7"/>
  <c r="V80" i="7"/>
  <c r="V84" i="7"/>
  <c r="V88" i="7"/>
  <c r="V52" i="6"/>
  <c r="V56" i="6"/>
  <c r="V60" i="6"/>
  <c r="V64" i="6"/>
  <c r="V68" i="6"/>
  <c r="V72" i="6"/>
  <c r="V76" i="6"/>
  <c r="V80" i="6"/>
  <c r="V84" i="6"/>
  <c r="W63" i="12"/>
  <c r="X63" i="12"/>
  <c r="N32" i="12"/>
  <c r="O53" i="12"/>
  <c r="W35" i="12"/>
  <c r="V22" i="12"/>
  <c r="H13" i="12"/>
  <c r="K13" i="12"/>
  <c r="Q19" i="12"/>
  <c r="M27" i="12"/>
  <c r="X27" i="12" s="1"/>
  <c r="S33" i="12"/>
  <c r="S55" i="12"/>
  <c r="Q65" i="12"/>
  <c r="M65" i="12"/>
  <c r="D71" i="12"/>
  <c r="D70" i="12" s="1"/>
  <c r="X72" i="12"/>
  <c r="W73" i="12"/>
  <c r="V74" i="12"/>
  <c r="M71" i="12"/>
  <c r="M70" i="12" s="1"/>
  <c r="V75" i="12"/>
  <c r="L85" i="12"/>
  <c r="L84" i="12" s="1"/>
  <c r="T84" i="12" s="1"/>
  <c r="M95" i="12"/>
  <c r="X56" i="12"/>
  <c r="V18" i="12"/>
  <c r="W52" i="12"/>
  <c r="C15" i="5"/>
  <c r="C25" i="5"/>
  <c r="AG52" i="11"/>
  <c r="AH52" i="11" s="1"/>
  <c r="AE52" i="11"/>
  <c r="AF52" i="11" s="1"/>
  <c r="L98" i="11"/>
  <c r="N98" i="11"/>
  <c r="O98" i="11" s="1"/>
  <c r="P98" i="11" s="1"/>
  <c r="U81" i="11"/>
  <c r="AR81" i="11" s="1"/>
  <c r="AQ27" i="11"/>
  <c r="AN62" i="11"/>
  <c r="S69" i="11"/>
  <c r="S68" i="11" s="1"/>
  <c r="N42" i="11"/>
  <c r="O42" i="11" s="1"/>
  <c r="AG42" i="11"/>
  <c r="AH42" i="11" s="1"/>
  <c r="AP50" i="11"/>
  <c r="AP52" i="11"/>
  <c r="U39" i="11"/>
  <c r="AN48" i="11"/>
  <c r="AI48" i="11"/>
  <c r="AM62" i="11"/>
  <c r="AQ62" i="11" s="1"/>
  <c r="T97" i="11"/>
  <c r="AQ97" i="11" s="1"/>
  <c r="N71" i="11"/>
  <c r="T84" i="11"/>
  <c r="AQ84" i="11" s="1"/>
  <c r="U53" i="11"/>
  <c r="AG64" i="11"/>
  <c r="AH64" i="11" s="1"/>
  <c r="AG65" i="11"/>
  <c r="AH65" i="11" s="1"/>
  <c r="AP67" i="11"/>
  <c r="AG67" i="11"/>
  <c r="AH67" i="11" s="1"/>
  <c r="AP79" i="11"/>
  <c r="AP80" i="11"/>
  <c r="AP82" i="11"/>
  <c r="AP83" i="11"/>
  <c r="AP84" i="11"/>
  <c r="L85" i="8"/>
  <c r="N85" i="8"/>
  <c r="O85" i="8" s="1"/>
  <c r="P85" i="8" s="1"/>
  <c r="AE38" i="8"/>
  <c r="AF38" i="8" s="1"/>
  <c r="AG38" i="8"/>
  <c r="AH38" i="8" s="1"/>
  <c r="P51" i="8"/>
  <c r="T51" i="8"/>
  <c r="N58" i="8"/>
  <c r="O58" i="8" s="1"/>
  <c r="P58" i="8" s="1"/>
  <c r="L58" i="8"/>
  <c r="U51" i="8"/>
  <c r="AJ100" i="8"/>
  <c r="AP54" i="8"/>
  <c r="AG55" i="8"/>
  <c r="AH55" i="8" s="1"/>
  <c r="AG83" i="8"/>
  <c r="AH83" i="8" s="1"/>
  <c r="G26" i="12"/>
  <c r="V26" i="12" s="1"/>
  <c r="D15" i="5"/>
  <c r="D18" i="5"/>
  <c r="D22" i="5" s="1"/>
  <c r="Q90" i="12"/>
  <c r="V99" i="12"/>
  <c r="D97" i="12"/>
  <c r="J90" i="12"/>
  <c r="X90" i="12" s="1"/>
  <c r="G90" i="12"/>
  <c r="S90" i="12"/>
  <c r="W96" i="12"/>
  <c r="N89" i="12"/>
  <c r="N88" i="12" s="1"/>
  <c r="T76" i="12"/>
  <c r="G81" i="12"/>
  <c r="X65" i="12"/>
  <c r="G65" i="12"/>
  <c r="W65" i="12" s="1"/>
  <c r="V68" i="12"/>
  <c r="V72" i="12"/>
  <c r="X74" i="12"/>
  <c r="W75" i="12"/>
  <c r="N58" i="12"/>
  <c r="N53" i="12" s="1"/>
  <c r="L21" i="12"/>
  <c r="V27" i="12"/>
  <c r="W27" i="12"/>
  <c r="K26" i="12"/>
  <c r="C29" i="5"/>
  <c r="X15" i="12"/>
  <c r="S14" i="12"/>
  <c r="W18" i="12"/>
  <c r="G14" i="12"/>
  <c r="G13" i="12" s="1"/>
  <c r="Q14" i="12"/>
  <c r="P77" i="8"/>
  <c r="U77" i="8" s="1"/>
  <c r="T77" i="8"/>
  <c r="N89" i="8"/>
  <c r="O89" i="8" s="1"/>
  <c r="P89" i="8" s="1"/>
  <c r="L89" i="8"/>
  <c r="N62" i="8"/>
  <c r="O62" i="8" s="1"/>
  <c r="P62" i="8" s="1"/>
  <c r="L62" i="8"/>
  <c r="AE34" i="8"/>
  <c r="AD14" i="8"/>
  <c r="AD13" i="8" s="1"/>
  <c r="AE16" i="8"/>
  <c r="AG16" i="8"/>
  <c r="AH16" i="8" s="1"/>
  <c r="AI16" i="8" s="1"/>
  <c r="N70" i="8"/>
  <c r="K101" i="8"/>
  <c r="L70" i="8"/>
  <c r="N81" i="8"/>
  <c r="O81" i="8" s="1"/>
  <c r="P81" i="8" s="1"/>
  <c r="L81" i="8"/>
  <c r="AG87" i="8"/>
  <c r="AH87" i="8" s="1"/>
  <c r="AI87" i="8" s="1"/>
  <c r="AE87" i="8"/>
  <c r="AE67" i="8"/>
  <c r="AF67" i="8" s="1"/>
  <c r="AG67" i="8"/>
  <c r="AH67" i="8" s="1"/>
  <c r="AI67" i="8" s="1"/>
  <c r="U16" i="8"/>
  <c r="T16" i="8"/>
  <c r="Y14" i="8"/>
  <c r="Y13" i="8" s="1"/>
  <c r="AG59" i="8"/>
  <c r="AH59" i="8" s="1"/>
  <c r="AG97" i="8"/>
  <c r="AH97" i="8" s="1"/>
  <c r="AP43" i="8"/>
  <c r="AG79" i="8"/>
  <c r="AH79" i="8" s="1"/>
  <c r="S97" i="12"/>
  <c r="M77" i="12"/>
  <c r="M58" i="12"/>
  <c r="X66" i="12"/>
  <c r="S65" i="12"/>
  <c r="M44" i="12"/>
  <c r="S44" i="12"/>
  <c r="S24" i="12"/>
  <c r="N13" i="12"/>
  <c r="S13" i="12" s="1"/>
  <c r="X103" i="12"/>
  <c r="J97" i="12"/>
  <c r="J89" i="12" s="1"/>
  <c r="Q95" i="12"/>
  <c r="X95" i="12"/>
  <c r="W85" i="12"/>
  <c r="J77" i="12"/>
  <c r="J59" i="12"/>
  <c r="J58" i="12" s="1"/>
  <c r="X62" i="12"/>
  <c r="X59" i="12"/>
  <c r="K58" i="12"/>
  <c r="X60" i="12"/>
  <c r="K54" i="12"/>
  <c r="S54" i="12" s="1"/>
  <c r="J55" i="12"/>
  <c r="J54" i="12" s="1"/>
  <c r="T48" i="12"/>
  <c r="J44" i="12"/>
  <c r="X44" i="12" s="1"/>
  <c r="K32" i="12"/>
  <c r="S32" i="12" s="1"/>
  <c r="J33" i="12"/>
  <c r="J32" i="12" s="1"/>
  <c r="Q33" i="12"/>
  <c r="J21" i="12"/>
  <c r="X24" i="12"/>
  <c r="W24" i="12"/>
  <c r="W25" i="12"/>
  <c r="X25" i="12"/>
  <c r="J14" i="12"/>
  <c r="W14" i="12" s="1"/>
  <c r="X16" i="12"/>
  <c r="W16" i="12"/>
  <c r="Q13" i="12"/>
  <c r="G97" i="12"/>
  <c r="W97" i="12" s="1"/>
  <c r="W95" i="12"/>
  <c r="Y95" i="12" s="1"/>
  <c r="H89" i="12"/>
  <c r="H88" i="12" s="1"/>
  <c r="G59" i="12"/>
  <c r="G54" i="12"/>
  <c r="W54" i="12" s="1"/>
  <c r="W57" i="12"/>
  <c r="V57" i="12"/>
  <c r="H53" i="12"/>
  <c r="G49" i="12"/>
  <c r="G48" i="12" s="1"/>
  <c r="V52" i="12"/>
  <c r="I12" i="12"/>
  <c r="G44" i="12"/>
  <c r="W44" i="12" s="1"/>
  <c r="H32" i="12"/>
  <c r="Q32" i="12" s="1"/>
  <c r="V39" i="12"/>
  <c r="V29" i="12"/>
  <c r="Q26" i="12"/>
  <c r="V21" i="12"/>
  <c r="V19" i="12"/>
  <c r="W19" i="12"/>
  <c r="V16" i="12"/>
  <c r="H12" i="12"/>
  <c r="F76" i="12"/>
  <c r="F53" i="12" s="1"/>
  <c r="D48" i="12"/>
  <c r="V48" i="12" s="1"/>
  <c r="F12" i="12"/>
  <c r="V50" i="12"/>
  <c r="M33" i="12"/>
  <c r="X34" i="12"/>
  <c r="X38" i="12"/>
  <c r="X42" i="12"/>
  <c r="M97" i="12"/>
  <c r="M89" i="12" s="1"/>
  <c r="V98" i="12"/>
  <c r="W99" i="12"/>
  <c r="G33" i="12"/>
  <c r="E89" i="12"/>
  <c r="E88" i="12" s="1"/>
  <c r="D95" i="12"/>
  <c r="V95" i="12" s="1"/>
  <c r="D65" i="12"/>
  <c r="V56" i="12"/>
  <c r="D32" i="12"/>
  <c r="V33" i="12"/>
  <c r="E12" i="12"/>
  <c r="E105" i="12" s="1"/>
  <c r="E106" i="12" s="1"/>
  <c r="D14" i="12"/>
  <c r="D13" i="12" s="1"/>
  <c r="AE101" i="11"/>
  <c r="AF70" i="11"/>
  <c r="AF101" i="11" s="1"/>
  <c r="AE41" i="11"/>
  <c r="AF41" i="11" s="1"/>
  <c r="AD17" i="11"/>
  <c r="AD102" i="11" s="1"/>
  <c r="AR26" i="11"/>
  <c r="AR85" i="11"/>
  <c r="T54" i="11"/>
  <c r="M84" i="11"/>
  <c r="U84" i="11" s="1"/>
  <c r="U99" i="11"/>
  <c r="O92" i="11"/>
  <c r="N91" i="11"/>
  <c r="N90" i="11" s="1"/>
  <c r="N72" i="11"/>
  <c r="U41" i="11"/>
  <c r="Y70" i="11"/>
  <c r="Y101" i="11" s="1"/>
  <c r="X101" i="11"/>
  <c r="S18" i="11"/>
  <c r="U18" i="11" s="1"/>
  <c r="R14" i="11"/>
  <c r="R13" i="11" s="1"/>
  <c r="AD18" i="11"/>
  <c r="AC14" i="11"/>
  <c r="AC13" i="11" s="1"/>
  <c r="X23" i="11"/>
  <c r="W14" i="11"/>
  <c r="W13" i="11" s="1"/>
  <c r="W100" i="11" s="1"/>
  <c r="V23" i="11"/>
  <c r="L24" i="11"/>
  <c r="N24" i="11"/>
  <c r="O24" i="11" s="1"/>
  <c r="P24" i="11" s="1"/>
  <c r="G69" i="11"/>
  <c r="H68" i="11"/>
  <c r="AA101" i="11"/>
  <c r="V70" i="11"/>
  <c r="V101" i="11" s="1"/>
  <c r="AK70" i="11"/>
  <c r="AJ101" i="11"/>
  <c r="M74" i="11"/>
  <c r="M72" i="11" s="1"/>
  <c r="T74" i="11"/>
  <c r="L75" i="11"/>
  <c r="L69" i="11" s="1"/>
  <c r="L68" i="11" s="1"/>
  <c r="N75" i="11"/>
  <c r="O75" i="11" s="1"/>
  <c r="P76" i="11"/>
  <c r="U76" i="11" s="1"/>
  <c r="T76" i="11"/>
  <c r="AE76" i="11"/>
  <c r="AF76" i="11" s="1"/>
  <c r="AG76" i="11"/>
  <c r="AH76" i="11" s="1"/>
  <c r="AP78" i="11"/>
  <c r="AP69" i="11" s="1"/>
  <c r="AG78" i="11"/>
  <c r="AH78" i="11" s="1"/>
  <c r="AM78" i="11" s="1"/>
  <c r="AQ78" i="11" s="1"/>
  <c r="AG87" i="11"/>
  <c r="AH87" i="11" s="1"/>
  <c r="AI87" i="11" s="1"/>
  <c r="AE87" i="11"/>
  <c r="V91" i="11"/>
  <c r="V90" i="11" s="1"/>
  <c r="AG92" i="11"/>
  <c r="AH92" i="11" s="1"/>
  <c r="AD93" i="11"/>
  <c r="AC91" i="11"/>
  <c r="AC90" i="11" s="1"/>
  <c r="S94" i="11"/>
  <c r="S91" i="11" s="1"/>
  <c r="S90" i="11" s="1"/>
  <c r="R91" i="11"/>
  <c r="R90" i="11" s="1"/>
  <c r="M98" i="11"/>
  <c r="T98" i="11"/>
  <c r="T99" i="11"/>
  <c r="S17" i="11"/>
  <c r="S102" i="11" s="1"/>
  <c r="Y77" i="11"/>
  <c r="X75" i="11"/>
  <c r="X69" i="11" s="1"/>
  <c r="X68" i="11" s="1"/>
  <c r="X72" i="11"/>
  <c r="U55" i="11"/>
  <c r="P96" i="11"/>
  <c r="T96" i="11"/>
  <c r="AE71" i="11"/>
  <c r="AF86" i="11"/>
  <c r="AF71" i="11" s="1"/>
  <c r="T79" i="11"/>
  <c r="AG70" i="11"/>
  <c r="AD101" i="11"/>
  <c r="P55" i="11"/>
  <c r="T55" i="11"/>
  <c r="AQ55" i="11" s="1"/>
  <c r="AE73" i="11"/>
  <c r="AG73" i="11"/>
  <c r="AP70" i="11"/>
  <c r="AP101" i="11" s="1"/>
  <c r="AE19" i="11"/>
  <c r="AG19" i="11"/>
  <c r="J17" i="11"/>
  <c r="J102" i="11" s="1"/>
  <c r="K19" i="11"/>
  <c r="AC17" i="11"/>
  <c r="N28" i="11"/>
  <c r="O28" i="11" s="1"/>
  <c r="P28" i="11" s="1"/>
  <c r="L28" i="11"/>
  <c r="AI30" i="11"/>
  <c r="AN30" i="11" s="1"/>
  <c r="AR30" i="11" s="1"/>
  <c r="AM30" i="11"/>
  <c r="AQ30" i="11" s="1"/>
  <c r="AN32" i="11"/>
  <c r="AR32" i="11" s="1"/>
  <c r="AI36" i="11"/>
  <c r="AM36" i="11"/>
  <c r="AQ36" i="11" s="1"/>
  <c r="N37" i="11"/>
  <c r="O37" i="11" s="1"/>
  <c r="P37" i="11" s="1"/>
  <c r="L37" i="11"/>
  <c r="X41" i="11"/>
  <c r="V41" i="11"/>
  <c r="S44" i="11"/>
  <c r="U44" i="11" s="1"/>
  <c r="AR44" i="11" s="1"/>
  <c r="T44" i="11"/>
  <c r="AQ44" i="11" s="1"/>
  <c r="N46" i="11"/>
  <c r="O46" i="11" s="1"/>
  <c r="P46" i="11" s="1"/>
  <c r="L46" i="11"/>
  <c r="AI47" i="11"/>
  <c r="AN47" i="11" s="1"/>
  <c r="AR47" i="11" s="1"/>
  <c r="AM47" i="11"/>
  <c r="AQ47" i="11" s="1"/>
  <c r="N49" i="11"/>
  <c r="O49" i="11" s="1"/>
  <c r="P49" i="11" s="1"/>
  <c r="L49" i="11"/>
  <c r="AG53" i="11"/>
  <c r="AH53" i="11" s="1"/>
  <c r="AI53" i="11" s="1"/>
  <c r="AE53" i="11"/>
  <c r="AL57" i="11"/>
  <c r="AN57" i="11" s="1"/>
  <c r="AR57" i="11" s="1"/>
  <c r="AM57" i="11"/>
  <c r="AQ57" i="11" s="1"/>
  <c r="N58" i="11"/>
  <c r="O58" i="11" s="1"/>
  <c r="P58" i="11" s="1"/>
  <c r="L58" i="11"/>
  <c r="N63" i="11"/>
  <c r="O63" i="11" s="1"/>
  <c r="P63" i="11" s="1"/>
  <c r="L63" i="11"/>
  <c r="U62" i="11"/>
  <c r="AR62" i="11" s="1"/>
  <c r="U94" i="11"/>
  <c r="AM86" i="11"/>
  <c r="U97" i="11"/>
  <c r="U96" i="11"/>
  <c r="AN45" i="11"/>
  <c r="AL69" i="11"/>
  <c r="AL68" i="11" s="1"/>
  <c r="J14" i="11"/>
  <c r="J13" i="11" s="1"/>
  <c r="AP25" i="11"/>
  <c r="S14" i="11"/>
  <c r="S13" i="11" s="1"/>
  <c r="AP29" i="11"/>
  <c r="AP30" i="11"/>
  <c r="AG40" i="11"/>
  <c r="AH40" i="11" s="1"/>
  <c r="AG43" i="11"/>
  <c r="AH43" i="11" s="1"/>
  <c r="AP45" i="11"/>
  <c r="X71" i="11"/>
  <c r="Y86" i="11"/>
  <c r="Y71" i="11" s="1"/>
  <c r="AP36" i="11"/>
  <c r="AG37" i="11"/>
  <c r="AH37" i="11" s="1"/>
  <c r="AP38" i="11"/>
  <c r="AP40" i="11"/>
  <c r="R17" i="11"/>
  <c r="AA102" i="11"/>
  <c r="AG44" i="11"/>
  <c r="AP47" i="11"/>
  <c r="AP49" i="11"/>
  <c r="AP53" i="11"/>
  <c r="AP58" i="11"/>
  <c r="AP63" i="11"/>
  <c r="AK69" i="11"/>
  <c r="AK68" i="11" s="1"/>
  <c r="AP77" i="11"/>
  <c r="AG79" i="11"/>
  <c r="AH79" i="11" s="1"/>
  <c r="AP93" i="11"/>
  <c r="AP99" i="11"/>
  <c r="D25" i="5"/>
  <c r="D29" i="5" s="1"/>
  <c r="AI94" i="11"/>
  <c r="AM94" i="11"/>
  <c r="AQ94" i="11" s="1"/>
  <c r="AI38" i="11"/>
  <c r="AN38" i="11" s="1"/>
  <c r="AR38" i="11" s="1"/>
  <c r="AM38" i="11"/>
  <c r="AQ38" i="11" s="1"/>
  <c r="AE18" i="11"/>
  <c r="AG18" i="11"/>
  <c r="AH18" i="11" s="1"/>
  <c r="AI18" i="11" s="1"/>
  <c r="AD14" i="11"/>
  <c r="AD13" i="11" s="1"/>
  <c r="AG22" i="11"/>
  <c r="AH22" i="11" s="1"/>
  <c r="AE22" i="11"/>
  <c r="AF22" i="11" s="1"/>
  <c r="AQ61" i="11"/>
  <c r="AQ16" i="11" s="1"/>
  <c r="AI82" i="11"/>
  <c r="AN82" i="11" s="1"/>
  <c r="AR82" i="11" s="1"/>
  <c r="AM82" i="11"/>
  <c r="AI52" i="11"/>
  <c r="AM52" i="11"/>
  <c r="AQ52" i="11" s="1"/>
  <c r="AI59" i="11"/>
  <c r="AN59" i="11" s="1"/>
  <c r="AR59" i="11" s="1"/>
  <c r="AM59" i="11"/>
  <c r="AQ59" i="11" s="1"/>
  <c r="AN27" i="11"/>
  <c r="AR27" i="11" s="1"/>
  <c r="N23" i="11"/>
  <c r="O23" i="11" s="1"/>
  <c r="P23" i="11" s="1"/>
  <c r="K14" i="11"/>
  <c r="K13" i="11" s="1"/>
  <c r="L23" i="11"/>
  <c r="AG25" i="11"/>
  <c r="AH25" i="11" s="1"/>
  <c r="AI25" i="11" s="1"/>
  <c r="AN25" i="11" s="1"/>
  <c r="AR25" i="11" s="1"/>
  <c r="AE25" i="11"/>
  <c r="AF25" i="11" s="1"/>
  <c r="AQ82" i="11"/>
  <c r="U25" i="11"/>
  <c r="AR45" i="11"/>
  <c r="AR89" i="11"/>
  <c r="N69" i="11"/>
  <c r="N68" i="11" s="1"/>
  <c r="AN46" i="11"/>
  <c r="Y75" i="11"/>
  <c r="Y69" i="11" s="1"/>
  <c r="Y68" i="11" s="1"/>
  <c r="Y72" i="11"/>
  <c r="AR78" i="11"/>
  <c r="L91" i="11"/>
  <c r="L90" i="11" s="1"/>
  <c r="AN94" i="11"/>
  <c r="AR94" i="11" s="1"/>
  <c r="AN55" i="11"/>
  <c r="AR55" i="11" s="1"/>
  <c r="AN36" i="11"/>
  <c r="AR36" i="11" s="1"/>
  <c r="AN97" i="11"/>
  <c r="AR97" i="11" s="1"/>
  <c r="AG81" i="11"/>
  <c r="AH81" i="11" s="1"/>
  <c r="AM81" i="11" s="1"/>
  <c r="AQ81" i="11" s="1"/>
  <c r="Q100" i="11"/>
  <c r="AG33" i="11"/>
  <c r="AH33" i="11" s="1"/>
  <c r="AG35" i="11"/>
  <c r="AH35" i="11" s="1"/>
  <c r="J16" i="11"/>
  <c r="AC16" i="11"/>
  <c r="AP72" i="11"/>
  <c r="AG83" i="11"/>
  <c r="AH83" i="11" s="1"/>
  <c r="R71" i="11"/>
  <c r="R102" i="11" s="1"/>
  <c r="AC71" i="11"/>
  <c r="AP92" i="11"/>
  <c r="AP94" i="11"/>
  <c r="Y91" i="11"/>
  <c r="Y90" i="11" s="1"/>
  <c r="AI96" i="8"/>
  <c r="AN96" i="8" s="1"/>
  <c r="AM96" i="8"/>
  <c r="X41" i="8"/>
  <c r="Y41" i="8" s="1"/>
  <c r="W17" i="8"/>
  <c r="AJ41" i="8"/>
  <c r="AB17" i="8"/>
  <c r="AA100" i="8"/>
  <c r="AG77" i="8"/>
  <c r="AH77" i="8" s="1"/>
  <c r="V72" i="8"/>
  <c r="V102" i="8" s="1"/>
  <c r="AP96" i="8"/>
  <c r="AP91" i="8" s="1"/>
  <c r="V91" i="8"/>
  <c r="W100" i="8"/>
  <c r="AP41" i="8"/>
  <c r="G69" i="8"/>
  <c r="H68" i="8"/>
  <c r="G68" i="8" s="1"/>
  <c r="AA101" i="8"/>
  <c r="V70" i="8"/>
  <c r="AG75" i="8"/>
  <c r="AH75" i="8" s="1"/>
  <c r="V69" i="8"/>
  <c r="V68" i="8" s="1"/>
  <c r="AP84" i="8"/>
  <c r="AP60" i="8"/>
  <c r="AP55" i="8"/>
  <c r="AP50" i="8"/>
  <c r="AP31" i="8"/>
  <c r="AP14" i="8" s="1"/>
  <c r="AP13" i="8" s="1"/>
  <c r="H102" i="8"/>
  <c r="AG20" i="8"/>
  <c r="AG26" i="8"/>
  <c r="AH26" i="8" s="1"/>
  <c r="AG32" i="8"/>
  <c r="AH32" i="8" s="1"/>
  <c r="AG34" i="8"/>
  <c r="AH34" i="8" s="1"/>
  <c r="AG36" i="8"/>
  <c r="AH36" i="8" s="1"/>
  <c r="AG40" i="8"/>
  <c r="AH40" i="8" s="1"/>
  <c r="AA102" i="8"/>
  <c r="AG53" i="8"/>
  <c r="AH53" i="8" s="1"/>
  <c r="AG57" i="8"/>
  <c r="AH57" i="8" s="1"/>
  <c r="AG73" i="8"/>
  <c r="AH73" i="8" s="1"/>
  <c r="AP75" i="8"/>
  <c r="AP69" i="8" s="1"/>
  <c r="AG95" i="8"/>
  <c r="AH95" i="8" s="1"/>
  <c r="AO100" i="8"/>
  <c r="W111" i="11"/>
  <c r="T49" i="12"/>
  <c r="O12" i="12"/>
  <c r="L12" i="12"/>
  <c r="J49" i="12"/>
  <c r="X49" i="12" s="1"/>
  <c r="O17" i="8"/>
  <c r="AI49" i="8"/>
  <c r="AN49" i="8" s="1"/>
  <c r="AM49" i="8"/>
  <c r="L90" i="8"/>
  <c r="T19" i="8"/>
  <c r="P19" i="8"/>
  <c r="U19" i="8" s="1"/>
  <c r="P21" i="8"/>
  <c r="T21" i="8"/>
  <c r="T23" i="8"/>
  <c r="P23" i="8"/>
  <c r="U23" i="8" s="1"/>
  <c r="P25" i="8"/>
  <c r="T25" i="8"/>
  <c r="T27" i="8"/>
  <c r="P27" i="8"/>
  <c r="U27" i="8" s="1"/>
  <c r="P29" i="8"/>
  <c r="T29" i="8"/>
  <c r="T31" i="8"/>
  <c r="P31" i="8"/>
  <c r="U31" i="8" s="1"/>
  <c r="P33" i="8"/>
  <c r="T33" i="8"/>
  <c r="T35" i="8"/>
  <c r="P35" i="8"/>
  <c r="U35" i="8" s="1"/>
  <c r="P37" i="8"/>
  <c r="T37" i="8"/>
  <c r="T39" i="8"/>
  <c r="P39" i="8"/>
  <c r="U39" i="8" s="1"/>
  <c r="P41" i="8"/>
  <c r="T41" i="8"/>
  <c r="T43" i="8"/>
  <c r="P43" i="8"/>
  <c r="U43" i="8" s="1"/>
  <c r="P45" i="8"/>
  <c r="T45" i="8"/>
  <c r="T47" i="8"/>
  <c r="P47" i="8"/>
  <c r="U47" i="8" s="1"/>
  <c r="AF91" i="8"/>
  <c r="AG41" i="8"/>
  <c r="AH41" i="8" s="1"/>
  <c r="AI41" i="8" s="1"/>
  <c r="AE41" i="8"/>
  <c r="AM66" i="8"/>
  <c r="AI66" i="8"/>
  <c r="AN66" i="8" s="1"/>
  <c r="AM58" i="8"/>
  <c r="AI58" i="8"/>
  <c r="AN58" i="8" s="1"/>
  <c r="AI56" i="8"/>
  <c r="AM56" i="8"/>
  <c r="AM52" i="8"/>
  <c r="AI52" i="8"/>
  <c r="AN52" i="8" s="1"/>
  <c r="AM37" i="8"/>
  <c r="AI37" i="8"/>
  <c r="AN37" i="8" s="1"/>
  <c r="L91" i="8"/>
  <c r="N91" i="8"/>
  <c r="O91" i="8" s="1"/>
  <c r="P91" i="8" s="1"/>
  <c r="R14" i="8"/>
  <c r="R13" i="8" s="1"/>
  <c r="S18" i="8"/>
  <c r="S14" i="8" s="1"/>
  <c r="S13" i="8" s="1"/>
  <c r="AG14" i="8"/>
  <c r="AG13" i="8" s="1"/>
  <c r="AH20" i="8"/>
  <c r="AI21" i="8"/>
  <c r="AN21" i="8" s="1"/>
  <c r="AM21" i="8"/>
  <c r="AM22" i="8"/>
  <c r="AI22" i="8"/>
  <c r="AN22" i="8" s="1"/>
  <c r="AI26" i="8"/>
  <c r="AN26" i="8" s="1"/>
  <c r="AM26" i="8"/>
  <c r="AI28" i="8"/>
  <c r="AM28" i="8"/>
  <c r="AM29" i="8"/>
  <c r="AI29" i="8"/>
  <c r="AN29" i="8" s="1"/>
  <c r="AM30" i="8"/>
  <c r="AI30" i="8"/>
  <c r="AN30" i="8" s="1"/>
  <c r="AI32" i="8"/>
  <c r="AM32" i="8"/>
  <c r="AI34" i="8"/>
  <c r="AM34" i="8"/>
  <c r="AI36" i="8"/>
  <c r="AM36" i="8"/>
  <c r="L38" i="8"/>
  <c r="N38" i="8"/>
  <c r="O38" i="8" s="1"/>
  <c r="P38" i="8" s="1"/>
  <c r="AI40" i="8"/>
  <c r="AM40" i="8"/>
  <c r="AI44" i="8"/>
  <c r="AN44" i="8" s="1"/>
  <c r="AM44" i="8"/>
  <c r="AI46" i="8"/>
  <c r="AN46" i="8" s="1"/>
  <c r="AM46" i="8"/>
  <c r="AI48" i="8"/>
  <c r="AN48" i="8" s="1"/>
  <c r="AM48" i="8"/>
  <c r="AI53" i="8"/>
  <c r="AM53" i="8"/>
  <c r="AM54" i="8"/>
  <c r="AI54" i="8"/>
  <c r="AN54" i="8" s="1"/>
  <c r="AI57" i="8"/>
  <c r="AM57" i="8"/>
  <c r="AM59" i="8"/>
  <c r="AI59" i="8"/>
  <c r="AN59" i="8" s="1"/>
  <c r="AK101" i="8"/>
  <c r="AM61" i="8"/>
  <c r="AL61" i="8"/>
  <c r="AL101" i="8" s="1"/>
  <c r="AL63" i="8"/>
  <c r="AN63" i="8" s="1"/>
  <c r="AM63" i="8"/>
  <c r="AM65" i="8"/>
  <c r="AL65" i="8"/>
  <c r="AL67" i="8"/>
  <c r="AN67" i="8" s="1"/>
  <c r="AM67" i="8"/>
  <c r="J68" i="8"/>
  <c r="K68" i="8" s="1"/>
  <c r="I100" i="8"/>
  <c r="AC68" i="8"/>
  <c r="AB100" i="8"/>
  <c r="AD68" i="8"/>
  <c r="AI71" i="8"/>
  <c r="AN71" i="8" s="1"/>
  <c r="AM71" i="8"/>
  <c r="AD72" i="8"/>
  <c r="AI73" i="8"/>
  <c r="AM73" i="8"/>
  <c r="AI76" i="8"/>
  <c r="AN76" i="8" s="1"/>
  <c r="AM76" i="8"/>
  <c r="AI77" i="8"/>
  <c r="AM77" i="8"/>
  <c r="AI78" i="8"/>
  <c r="AN78" i="8" s="1"/>
  <c r="AM78" i="8"/>
  <c r="AI79" i="8"/>
  <c r="AN79" i="8" s="1"/>
  <c r="AM79" i="8"/>
  <c r="AI80" i="8"/>
  <c r="AN80" i="8" s="1"/>
  <c r="AM80" i="8"/>
  <c r="AI81" i="8"/>
  <c r="AM81" i="8"/>
  <c r="AI82" i="8"/>
  <c r="AN82" i="8" s="1"/>
  <c r="AM82" i="8"/>
  <c r="AI83" i="8"/>
  <c r="AN83" i="8" s="1"/>
  <c r="AM83" i="8"/>
  <c r="AL84" i="8"/>
  <c r="AM84" i="8"/>
  <c r="AC90" i="8"/>
  <c r="AD90" i="8" s="1"/>
  <c r="AI94" i="8"/>
  <c r="AN94" i="8" s="1"/>
  <c r="AM94" i="8"/>
  <c r="L95" i="8"/>
  <c r="N95" i="8"/>
  <c r="O95" i="8" s="1"/>
  <c r="P95" i="8" s="1"/>
  <c r="AM95" i="8"/>
  <c r="AI95" i="8"/>
  <c r="AN95" i="8" s="1"/>
  <c r="AI98" i="8"/>
  <c r="AN98" i="8" s="1"/>
  <c r="AM98" i="8"/>
  <c r="T17" i="8"/>
  <c r="U45" i="8"/>
  <c r="U41" i="8"/>
  <c r="U37" i="8"/>
  <c r="U33" i="8"/>
  <c r="U29" i="8"/>
  <c r="U25" i="8"/>
  <c r="U21" i="8"/>
  <c r="N69" i="8"/>
  <c r="O69" i="8" s="1"/>
  <c r="P69" i="8" s="1"/>
  <c r="L69" i="8"/>
  <c r="T20" i="8"/>
  <c r="P20" i="8"/>
  <c r="U20" i="8" s="1"/>
  <c r="P22" i="8"/>
  <c r="U22" i="8" s="1"/>
  <c r="T22" i="8"/>
  <c r="T24" i="8"/>
  <c r="P24" i="8"/>
  <c r="U24" i="8" s="1"/>
  <c r="P26" i="8"/>
  <c r="U26" i="8" s="1"/>
  <c r="T26" i="8"/>
  <c r="T28" i="8"/>
  <c r="P28" i="8"/>
  <c r="U28" i="8" s="1"/>
  <c r="P30" i="8"/>
  <c r="U30" i="8" s="1"/>
  <c r="T30" i="8"/>
  <c r="T32" i="8"/>
  <c r="P32" i="8"/>
  <c r="U32" i="8" s="1"/>
  <c r="P34" i="8"/>
  <c r="U34" i="8" s="1"/>
  <c r="T34" i="8"/>
  <c r="T36" i="8"/>
  <c r="P36" i="8"/>
  <c r="U36" i="8" s="1"/>
  <c r="T40" i="8"/>
  <c r="P40" i="8"/>
  <c r="U40" i="8" s="1"/>
  <c r="P42" i="8"/>
  <c r="U42" i="8" s="1"/>
  <c r="T42" i="8"/>
  <c r="T44" i="8"/>
  <c r="P44" i="8"/>
  <c r="U44" i="8" s="1"/>
  <c r="P46" i="8"/>
  <c r="U46" i="8" s="1"/>
  <c r="T46" i="8"/>
  <c r="N72" i="8"/>
  <c r="O72" i="8" s="1"/>
  <c r="P72" i="8" s="1"/>
  <c r="L72" i="8"/>
  <c r="AF16" i="8"/>
  <c r="AN16" i="8" s="1"/>
  <c r="AM16" i="8"/>
  <c r="AG69" i="8"/>
  <c r="AH69" i="8" s="1"/>
  <c r="AI69" i="8" s="1"/>
  <c r="AE69" i="8"/>
  <c r="O70" i="8"/>
  <c r="T70" i="8" s="1"/>
  <c r="T101" i="8" s="1"/>
  <c r="N101" i="8"/>
  <c r="T75" i="8"/>
  <c r="P75" i="8"/>
  <c r="U75" i="8" s="1"/>
  <c r="AN84" i="8"/>
  <c r="Y68" i="8"/>
  <c r="Y100" i="8" s="1"/>
  <c r="X100" i="8"/>
  <c r="AN65" i="8"/>
  <c r="AI64" i="8"/>
  <c r="AN64" i="8" s="1"/>
  <c r="AM64" i="8"/>
  <c r="AN61" i="8"/>
  <c r="AM60" i="8"/>
  <c r="AI60" i="8"/>
  <c r="AN60" i="8" s="1"/>
  <c r="AI39" i="8"/>
  <c r="AN39" i="8" s="1"/>
  <c r="AM39" i="8"/>
  <c r="AN28" i="8"/>
  <c r="AN32" i="8"/>
  <c r="AN36" i="8"/>
  <c r="AN40" i="8"/>
  <c r="AN53" i="8"/>
  <c r="AN57" i="8"/>
  <c r="AN73" i="8"/>
  <c r="AN77" i="8"/>
  <c r="AN81" i="8"/>
  <c r="AM18" i="8"/>
  <c r="AI18" i="8"/>
  <c r="AH14" i="8"/>
  <c r="AH13" i="8" s="1"/>
  <c r="AI93" i="8"/>
  <c r="AN93" i="8" s="1"/>
  <c r="AM93" i="8"/>
  <c r="K18" i="8"/>
  <c r="J14" i="8"/>
  <c r="J13" i="8" s="1"/>
  <c r="J100" i="8" s="1"/>
  <c r="AI19" i="8"/>
  <c r="AN19" i="8" s="1"/>
  <c r="AM19" i="8"/>
  <c r="AI24" i="8"/>
  <c r="AN24" i="8" s="1"/>
  <c r="AM24" i="8"/>
  <c r="AI25" i="8"/>
  <c r="AN25" i="8" s="1"/>
  <c r="AM25" i="8"/>
  <c r="AI31" i="8"/>
  <c r="AN31" i="8" s="1"/>
  <c r="AM31" i="8"/>
  <c r="AI33" i="8"/>
  <c r="AN33" i="8" s="1"/>
  <c r="AM33" i="8"/>
  <c r="AI35" i="8"/>
  <c r="AN35" i="8" s="1"/>
  <c r="AM35" i="8"/>
  <c r="AM38" i="8"/>
  <c r="AI38" i="8"/>
  <c r="AN38" i="8" s="1"/>
  <c r="AJ17" i="8"/>
  <c r="AK41" i="8"/>
  <c r="AL41" i="8" s="1"/>
  <c r="AI42" i="8"/>
  <c r="AN42" i="8" s="1"/>
  <c r="AM42" i="8"/>
  <c r="AM43" i="8"/>
  <c r="AI43" i="8"/>
  <c r="AN43" i="8" s="1"/>
  <c r="AI45" i="8"/>
  <c r="AN45" i="8" s="1"/>
  <c r="AM45" i="8"/>
  <c r="AI47" i="8"/>
  <c r="AN47" i="8" s="1"/>
  <c r="AM47" i="8"/>
  <c r="AI50" i="8"/>
  <c r="AN50" i="8" s="1"/>
  <c r="AM50" i="8"/>
  <c r="AM51" i="8"/>
  <c r="AI51" i="8"/>
  <c r="AN51" i="8" s="1"/>
  <c r="AI55" i="8"/>
  <c r="AN55" i="8" s="1"/>
  <c r="AM55" i="8"/>
  <c r="AK14" i="8"/>
  <c r="AK13" i="8" s="1"/>
  <c r="AK100" i="8" s="1"/>
  <c r="AL56" i="8"/>
  <c r="AL14" i="8" s="1"/>
  <c r="AL13" i="8" s="1"/>
  <c r="AL100" i="8" s="1"/>
  <c r="AI62" i="8"/>
  <c r="AN62" i="8" s="1"/>
  <c r="AM62" i="8"/>
  <c r="V100" i="8"/>
  <c r="N71" i="8"/>
  <c r="O71" i="8" s="1"/>
  <c r="P71" i="8" s="1"/>
  <c r="K102" i="8"/>
  <c r="L71" i="8"/>
  <c r="S71" i="8"/>
  <c r="S102" i="8" s="1"/>
  <c r="R102" i="8"/>
  <c r="AP72" i="8"/>
  <c r="AP102" i="8" s="1"/>
  <c r="G102" i="8"/>
  <c r="Y72" i="8"/>
  <c r="AM74" i="8"/>
  <c r="AI74" i="8"/>
  <c r="AN74" i="8" s="1"/>
  <c r="AM75" i="8"/>
  <c r="AI75" i="8"/>
  <c r="AN75" i="8" s="1"/>
  <c r="AM92" i="8"/>
  <c r="AI92" i="8"/>
  <c r="AN92" i="8" s="1"/>
  <c r="R91" i="8"/>
  <c r="S91" i="8" s="1"/>
  <c r="Q90" i="8"/>
  <c r="R90" i="8" s="1"/>
  <c r="S90" i="8" s="1"/>
  <c r="AI97" i="8"/>
  <c r="AN97" i="8" s="1"/>
  <c r="AM97" i="8"/>
  <c r="AM99" i="8"/>
  <c r="AI99" i="8"/>
  <c r="AN99" i="8" s="1"/>
  <c r="P99" i="8"/>
  <c r="U99" i="8" s="1"/>
  <c r="T99" i="8"/>
  <c r="S101" i="8"/>
  <c r="P70" i="11"/>
  <c r="T70" i="11"/>
  <c r="AR84" i="11"/>
  <c r="AI96" i="11"/>
  <c r="AM96" i="11"/>
  <c r="AQ96" i="11" s="1"/>
  <c r="P88" i="11"/>
  <c r="U88" i="11" s="1"/>
  <c r="AR88" i="11" s="1"/>
  <c r="T88" i="11"/>
  <c r="AQ88" i="11" s="1"/>
  <c r="AI80" i="11"/>
  <c r="AM80" i="11"/>
  <c r="AQ80" i="11" s="1"/>
  <c r="P66" i="11"/>
  <c r="U66" i="11" s="1"/>
  <c r="T66" i="11"/>
  <c r="P65" i="11"/>
  <c r="U65" i="11" s="1"/>
  <c r="T65" i="11"/>
  <c r="AM22" i="11"/>
  <c r="AQ22" i="11" s="1"/>
  <c r="AI22" i="11"/>
  <c r="AN22" i="11" s="1"/>
  <c r="AR22" i="11" s="1"/>
  <c r="AM25" i="11"/>
  <c r="AQ25" i="11" s="1"/>
  <c r="U74" i="11"/>
  <c r="AN80" i="11"/>
  <c r="AR80" i="11" s="1"/>
  <c r="AN96" i="11"/>
  <c r="AR96" i="11" s="1"/>
  <c r="AR48" i="11"/>
  <c r="P77" i="11"/>
  <c r="U77" i="11" s="1"/>
  <c r="AR77" i="11" s="1"/>
  <c r="T77" i="11"/>
  <c r="O72" i="11"/>
  <c r="AH70" i="11"/>
  <c r="AG101" i="11"/>
  <c r="AH101" i="11" s="1"/>
  <c r="AI101" i="11" s="1"/>
  <c r="AI76" i="11"/>
  <c r="AN76" i="11" s="1"/>
  <c r="AR76" i="11" s="1"/>
  <c r="AM76" i="11"/>
  <c r="AQ76" i="11" s="1"/>
  <c r="AI67" i="11"/>
  <c r="AN67" i="11" s="1"/>
  <c r="AR67" i="11" s="1"/>
  <c r="AM67" i="11"/>
  <c r="AQ67" i="11" s="1"/>
  <c r="AI66" i="11"/>
  <c r="AN66" i="11" s="1"/>
  <c r="AM66" i="11"/>
  <c r="AI65" i="11"/>
  <c r="AN65" i="11" s="1"/>
  <c r="AM65" i="11"/>
  <c r="AI64" i="11"/>
  <c r="AN64" i="11" s="1"/>
  <c r="AR64" i="11" s="1"/>
  <c r="AM64" i="11"/>
  <c r="AQ64" i="11" s="1"/>
  <c r="R100" i="11"/>
  <c r="AI20" i="11"/>
  <c r="AM20" i="11"/>
  <c r="AQ20" i="11" s="1"/>
  <c r="J100" i="11"/>
  <c r="K68" i="11"/>
  <c r="K100" i="11" s="1"/>
  <c r="AN86" i="11"/>
  <c r="AN71" i="11" s="1"/>
  <c r="AN61" i="11"/>
  <c r="AE21" i="11"/>
  <c r="AG21" i="11"/>
  <c r="AH21" i="11" s="1"/>
  <c r="AI21" i="11" s="1"/>
  <c r="AE24" i="11"/>
  <c r="AG24" i="11"/>
  <c r="AH24" i="11" s="1"/>
  <c r="AI24" i="11" s="1"/>
  <c r="AG28" i="11"/>
  <c r="AH28" i="11" s="1"/>
  <c r="AG34" i="11"/>
  <c r="AH34" i="11" s="1"/>
  <c r="N35" i="11"/>
  <c r="O35" i="11" s="1"/>
  <c r="P35" i="11" s="1"/>
  <c r="L35" i="11"/>
  <c r="N40" i="11"/>
  <c r="O40" i="11" s="1"/>
  <c r="P40" i="11" s="1"/>
  <c r="L40" i="11"/>
  <c r="AE50" i="11"/>
  <c r="AG50" i="11"/>
  <c r="AH50" i="11" s="1"/>
  <c r="AI50" i="11" s="1"/>
  <c r="AE51" i="11"/>
  <c r="AG51" i="11"/>
  <c r="AH51" i="11" s="1"/>
  <c r="AI51" i="11" s="1"/>
  <c r="AG54" i="11"/>
  <c r="AH54" i="11" s="1"/>
  <c r="AG56" i="11"/>
  <c r="AH56" i="11" s="1"/>
  <c r="AI56" i="11" s="1"/>
  <c r="AE56" i="11"/>
  <c r="AG63" i="11"/>
  <c r="AH63" i="11" s="1"/>
  <c r="AI63" i="11" s="1"/>
  <c r="AE63" i="11"/>
  <c r="AG95" i="11"/>
  <c r="AE95" i="11"/>
  <c r="AE99" i="11"/>
  <c r="AG99" i="11"/>
  <c r="AH99" i="11" s="1"/>
  <c r="AI99" i="11" s="1"/>
  <c r="U14" i="6"/>
  <c r="U13" i="7"/>
  <c r="N31" i="11"/>
  <c r="L31" i="11"/>
  <c r="AG39" i="11"/>
  <c r="AH39" i="11" s="1"/>
  <c r="AI39" i="11" s="1"/>
  <c r="AE39" i="11"/>
  <c r="N43" i="11"/>
  <c r="O43" i="11" s="1"/>
  <c r="P43" i="11" s="1"/>
  <c r="L43" i="11"/>
  <c r="AL52" i="11"/>
  <c r="AN52" i="11" s="1"/>
  <c r="AR52" i="11" s="1"/>
  <c r="AK14" i="11"/>
  <c r="AK13" i="11" s="1"/>
  <c r="AK100" i="11" s="1"/>
  <c r="AG58" i="11"/>
  <c r="AH58" i="11" s="1"/>
  <c r="AI58" i="11" s="1"/>
  <c r="AE58" i="11"/>
  <c r="AG60" i="11"/>
  <c r="AH60" i="11" s="1"/>
  <c r="AG74" i="11"/>
  <c r="AE74" i="11"/>
  <c r="AE98" i="11"/>
  <c r="AG98" i="11"/>
  <c r="AH98" i="11" s="1"/>
  <c r="AI98" i="11" s="1"/>
  <c r="Q13" i="7"/>
  <c r="Q14" i="6"/>
  <c r="Y23" i="11"/>
  <c r="AC72" i="11"/>
  <c r="AC102" i="11" s="1"/>
  <c r="Q16" i="6"/>
  <c r="Q15" i="6"/>
  <c r="Q11" i="6"/>
  <c r="S26" i="12"/>
  <c r="N12" i="12"/>
  <c r="L53" i="12"/>
  <c r="L105" i="12" s="1"/>
  <c r="D54" i="12"/>
  <c r="V55" i="12"/>
  <c r="U16" i="6"/>
  <c r="U15" i="6"/>
  <c r="U11" i="6"/>
  <c r="U21" i="6"/>
  <c r="R12" i="12"/>
  <c r="O105" i="12"/>
  <c r="S21" i="12"/>
  <c r="K12" i="12"/>
  <c r="Q21" i="12"/>
  <c r="Q21" i="6"/>
  <c r="Q18" i="6"/>
  <c r="M14" i="12"/>
  <c r="M29" i="12"/>
  <c r="R49" i="12"/>
  <c r="D63" i="12"/>
  <c r="G71" i="12"/>
  <c r="J71" i="12"/>
  <c r="W72" i="12"/>
  <c r="W74" i="12"/>
  <c r="I76" i="12"/>
  <c r="R76" i="12" s="1"/>
  <c r="M76" i="12"/>
  <c r="D77" i="12"/>
  <c r="D81" i="12"/>
  <c r="V81" i="12" s="1"/>
  <c r="X86" i="12"/>
  <c r="M85" i="12"/>
  <c r="T85" i="12"/>
  <c r="U18" i="6"/>
  <c r="R86" i="12"/>
  <c r="I85" i="12"/>
  <c r="V87" i="12"/>
  <c r="D86" i="12"/>
  <c r="K89" i="12"/>
  <c r="D90" i="12"/>
  <c r="V97" i="12"/>
  <c r="J26" i="12"/>
  <c r="W26" i="12" s="1"/>
  <c r="J13" i="12"/>
  <c r="Q12" i="7" l="1"/>
  <c r="Q12" i="6"/>
  <c r="S100" i="11"/>
  <c r="AI42" i="11"/>
  <c r="AN42" i="11" s="1"/>
  <c r="AM42" i="11"/>
  <c r="AP91" i="11"/>
  <c r="AP90" i="11" s="1"/>
  <c r="P42" i="11"/>
  <c r="U42" i="11" s="1"/>
  <c r="AR42" i="11" s="1"/>
  <c r="T42" i="11"/>
  <c r="AQ42" i="11" s="1"/>
  <c r="T58" i="8"/>
  <c r="M58" i="8"/>
  <c r="U58" i="8" s="1"/>
  <c r="M85" i="8"/>
  <c r="U85" i="8" s="1"/>
  <c r="T85" i="8"/>
  <c r="G89" i="12"/>
  <c r="G88" i="12" s="1"/>
  <c r="W90" i="12"/>
  <c r="G76" i="12"/>
  <c r="W81" i="12"/>
  <c r="V65" i="12"/>
  <c r="X58" i="12"/>
  <c r="T12" i="12"/>
  <c r="F105" i="12"/>
  <c r="F106" i="12" s="1"/>
  <c r="T62" i="8"/>
  <c r="M62" i="8"/>
  <c r="U62" i="8" s="1"/>
  <c r="T89" i="8"/>
  <c r="M89" i="8"/>
  <c r="U89" i="8" s="1"/>
  <c r="AM87" i="8"/>
  <c r="AF87" i="8"/>
  <c r="AN87" i="8" s="1"/>
  <c r="M81" i="8"/>
  <c r="U81" i="8" s="1"/>
  <c r="T81" i="8"/>
  <c r="M70" i="8"/>
  <c r="M101" i="8" s="1"/>
  <c r="L101" i="8"/>
  <c r="AF34" i="8"/>
  <c r="AF14" i="8" s="1"/>
  <c r="AF13" i="8" s="1"/>
  <c r="AE14" i="8"/>
  <c r="AE13" i="8" s="1"/>
  <c r="X97" i="12"/>
  <c r="J76" i="12"/>
  <c r="W76" i="12" s="1"/>
  <c r="W77" i="12"/>
  <c r="X77" i="12"/>
  <c r="Q58" i="12"/>
  <c r="S58" i="12"/>
  <c r="X54" i="12"/>
  <c r="W55" i="12"/>
  <c r="K53" i="12"/>
  <c r="S53" i="12" s="1"/>
  <c r="Q54" i="12"/>
  <c r="Q53" i="12"/>
  <c r="X55" i="12"/>
  <c r="W33" i="12"/>
  <c r="W21" i="12"/>
  <c r="X21" i="12"/>
  <c r="W59" i="12"/>
  <c r="V59" i="12"/>
  <c r="G58" i="12"/>
  <c r="H105" i="12"/>
  <c r="H106" i="12" s="1"/>
  <c r="V49" i="12"/>
  <c r="V44" i="12"/>
  <c r="G32" i="12"/>
  <c r="W32" i="12" s="1"/>
  <c r="J88" i="12"/>
  <c r="W88" i="12" s="1"/>
  <c r="M32" i="12"/>
  <c r="X32" i="12" s="1"/>
  <c r="X33" i="12"/>
  <c r="V14" i="12"/>
  <c r="U12" i="6"/>
  <c r="U12" i="7"/>
  <c r="AI79" i="11"/>
  <c r="AN79" i="11" s="1"/>
  <c r="AR79" i="11" s="1"/>
  <c r="AM79" i="11"/>
  <c r="AI43" i="11"/>
  <c r="AN43" i="11" s="1"/>
  <c r="AM43" i="11"/>
  <c r="P16" i="6" s="1"/>
  <c r="T63" i="11"/>
  <c r="M63" i="11"/>
  <c r="U63" i="11" s="1"/>
  <c r="M58" i="11"/>
  <c r="U58" i="11" s="1"/>
  <c r="V18" i="6" s="1"/>
  <c r="T58" i="11"/>
  <c r="R18" i="6" s="1"/>
  <c r="AM53" i="11"/>
  <c r="AQ53" i="11" s="1"/>
  <c r="AF53" i="11"/>
  <c r="AN53" i="11" s="1"/>
  <c r="AR53" i="11" s="1"/>
  <c r="M49" i="11"/>
  <c r="U49" i="11" s="1"/>
  <c r="T49" i="11"/>
  <c r="T46" i="11"/>
  <c r="AQ46" i="11" s="1"/>
  <c r="M46" i="11"/>
  <c r="U46" i="11" s="1"/>
  <c r="AR46" i="11" s="1"/>
  <c r="V17" i="11"/>
  <c r="V102" i="11" s="1"/>
  <c r="AP41" i="11"/>
  <c r="AP17" i="11" s="1"/>
  <c r="AG41" i="11"/>
  <c r="AH41" i="11" s="1"/>
  <c r="T37" i="11"/>
  <c r="M37" i="11"/>
  <c r="U37" i="11" s="1"/>
  <c r="N19" i="11"/>
  <c r="K17" i="11"/>
  <c r="K102" i="11" s="1"/>
  <c r="L19" i="11"/>
  <c r="AG17" i="11"/>
  <c r="AH19" i="11"/>
  <c r="AE69" i="11"/>
  <c r="AE68" i="11" s="1"/>
  <c r="AF73" i="11"/>
  <c r="AQ79" i="11"/>
  <c r="AM92" i="11"/>
  <c r="AI92" i="11"/>
  <c r="AN92" i="11" s="1"/>
  <c r="AM87" i="11"/>
  <c r="AQ87" i="11" s="1"/>
  <c r="AF87" i="11"/>
  <c r="AN87" i="11" s="1"/>
  <c r="AR87" i="11" s="1"/>
  <c r="M75" i="11"/>
  <c r="T75" i="11"/>
  <c r="AK101" i="11"/>
  <c r="AL70" i="11"/>
  <c r="AL101" i="11" s="1"/>
  <c r="T24" i="11"/>
  <c r="M24" i="11"/>
  <c r="U24" i="11" s="1"/>
  <c r="AC100" i="11"/>
  <c r="P92" i="11"/>
  <c r="T92" i="11"/>
  <c r="O91" i="11"/>
  <c r="O90" i="11" s="1"/>
  <c r="AI37" i="11"/>
  <c r="AN37" i="11" s="1"/>
  <c r="AM37" i="11"/>
  <c r="AQ37" i="11" s="1"/>
  <c r="AI40" i="11"/>
  <c r="AN40" i="11" s="1"/>
  <c r="AM40" i="11"/>
  <c r="AM71" i="11"/>
  <c r="AQ86" i="11"/>
  <c r="AQ71" i="11" s="1"/>
  <c r="X17" i="11"/>
  <c r="X102" i="11" s="1"/>
  <c r="Y41" i="11"/>
  <c r="Y17" i="11" s="1"/>
  <c r="Y102" i="11" s="1"/>
  <c r="T28" i="11"/>
  <c r="M28" i="11"/>
  <c r="U28" i="11" s="1"/>
  <c r="AE17" i="11"/>
  <c r="AF19" i="11"/>
  <c r="AM19" i="11"/>
  <c r="U98" i="11"/>
  <c r="M91" i="11"/>
  <c r="M90" i="11" s="1"/>
  <c r="AE93" i="11"/>
  <c r="AD91" i="11"/>
  <c r="AD90" i="11" s="1"/>
  <c r="AD100" i="11" s="1"/>
  <c r="AG93" i="11"/>
  <c r="AH93" i="11" s="1"/>
  <c r="AI93" i="11" s="1"/>
  <c r="P75" i="11"/>
  <c r="P69" i="11" s="1"/>
  <c r="P68" i="11" s="1"/>
  <c r="O69" i="11"/>
  <c r="O68" i="11" s="1"/>
  <c r="G68" i="11"/>
  <c r="H100" i="11"/>
  <c r="AG23" i="11"/>
  <c r="AH23" i="11" s="1"/>
  <c r="AP23" i="11"/>
  <c r="AP14" i="11" s="1"/>
  <c r="AP13" i="11" s="1"/>
  <c r="V14" i="11"/>
  <c r="V13" i="11" s="1"/>
  <c r="V100" i="11" s="1"/>
  <c r="V105" i="11" s="1"/>
  <c r="Q13" i="6"/>
  <c r="Q90" i="6" s="1"/>
  <c r="X14" i="11"/>
  <c r="X13" i="11" s="1"/>
  <c r="AI83" i="11"/>
  <c r="AN83" i="11" s="1"/>
  <c r="AR83" i="11" s="1"/>
  <c r="AM83" i="11"/>
  <c r="AQ83" i="11" s="1"/>
  <c r="AI35" i="11"/>
  <c r="AN35" i="11" s="1"/>
  <c r="T15" i="6" s="1"/>
  <c r="AM35" i="11"/>
  <c r="P15" i="6" s="1"/>
  <c r="T23" i="11"/>
  <c r="M23" i="11"/>
  <c r="U23" i="11" s="1"/>
  <c r="AF18" i="11"/>
  <c r="AN18" i="11" s="1"/>
  <c r="AR18" i="11" s="1"/>
  <c r="AM18" i="11"/>
  <c r="AI33" i="11"/>
  <c r="AN33" i="11" s="1"/>
  <c r="AR33" i="11" s="1"/>
  <c r="AM33" i="11"/>
  <c r="AQ33" i="11" s="1"/>
  <c r="AG69" i="11"/>
  <c r="AG68" i="11" s="1"/>
  <c r="AP102" i="11"/>
  <c r="AP70" i="8"/>
  <c r="AP101" i="8" s="1"/>
  <c r="V101" i="8"/>
  <c r="AP68" i="8"/>
  <c r="AG70" i="8"/>
  <c r="AC100" i="8"/>
  <c r="V90" i="8"/>
  <c r="AP90" i="8" s="1"/>
  <c r="AG91" i="8"/>
  <c r="AH91" i="8" s="1"/>
  <c r="AC17" i="8"/>
  <c r="AC102" i="8" s="1"/>
  <c r="AB102" i="8"/>
  <c r="AD17" i="8"/>
  <c r="AE17" i="8" s="1"/>
  <c r="AF17" i="8" s="1"/>
  <c r="X17" i="8"/>
  <c r="W102" i="8"/>
  <c r="H100" i="8"/>
  <c r="G100" i="8"/>
  <c r="G104" i="8" s="1"/>
  <c r="J48" i="12"/>
  <c r="J12" i="12" s="1"/>
  <c r="W49" i="12"/>
  <c r="L68" i="8"/>
  <c r="N68" i="8"/>
  <c r="O68" i="8" s="1"/>
  <c r="P68" i="8" s="1"/>
  <c r="V32" i="12"/>
  <c r="W13" i="12"/>
  <c r="Q89" i="12"/>
  <c r="S89" i="12"/>
  <c r="K88" i="12"/>
  <c r="W58" i="12"/>
  <c r="V86" i="12"/>
  <c r="D85" i="12"/>
  <c r="R85" i="12"/>
  <c r="I84" i="12"/>
  <c r="R84" i="12" s="1"/>
  <c r="V77" i="12"/>
  <c r="D76" i="12"/>
  <c r="V76" i="12" s="1"/>
  <c r="V71" i="12"/>
  <c r="G70" i="12"/>
  <c r="V70" i="12" s="1"/>
  <c r="X14" i="12"/>
  <c r="M13" i="12"/>
  <c r="I53" i="12"/>
  <c r="D12" i="12"/>
  <c r="V13" i="12"/>
  <c r="O106" i="12"/>
  <c r="T105" i="12"/>
  <c r="U13" i="6"/>
  <c r="Y14" i="11"/>
  <c r="Y13" i="11" s="1"/>
  <c r="AF98" i="11"/>
  <c r="AN98" i="11" s="1"/>
  <c r="AR98" i="11" s="1"/>
  <c r="AM98" i="11"/>
  <c r="AQ98" i="11" s="1"/>
  <c r="AG72" i="11"/>
  <c r="AG102" i="11" s="1"/>
  <c r="AH74" i="11"/>
  <c r="AF58" i="11"/>
  <c r="AN58" i="11" s="1"/>
  <c r="AR58" i="11" s="1"/>
  <c r="AM58" i="11"/>
  <c r="AQ58" i="11" s="1"/>
  <c r="M43" i="11"/>
  <c r="U43" i="11" s="1"/>
  <c r="T43" i="11"/>
  <c r="AM39" i="11"/>
  <c r="AQ39" i="11" s="1"/>
  <c r="AF39" i="11"/>
  <c r="AN39" i="11" s="1"/>
  <c r="AR39" i="11" s="1"/>
  <c r="M31" i="11"/>
  <c r="L14" i="11"/>
  <c r="L13" i="11" s="1"/>
  <c r="L100" i="11" s="1"/>
  <c r="AF95" i="11"/>
  <c r="AE91" i="11"/>
  <c r="AE90" i="11" s="1"/>
  <c r="AF63" i="11"/>
  <c r="AN63" i="11" s="1"/>
  <c r="AR63" i="11" s="1"/>
  <c r="AM63" i="11"/>
  <c r="AQ63" i="11" s="1"/>
  <c r="AF56" i="11"/>
  <c r="AN56" i="11" s="1"/>
  <c r="AR56" i="11" s="1"/>
  <c r="AM56" i="11"/>
  <c r="AQ56" i="11" s="1"/>
  <c r="AI54" i="11"/>
  <c r="AN54" i="11" s="1"/>
  <c r="AR54" i="11" s="1"/>
  <c r="AM54" i="11"/>
  <c r="AQ54" i="11" s="1"/>
  <c r="AM51" i="11"/>
  <c r="AQ51" i="11" s="1"/>
  <c r="AF51" i="11"/>
  <c r="AN51" i="11" s="1"/>
  <c r="AR51" i="11" s="1"/>
  <c r="AF50" i="11"/>
  <c r="AN50" i="11" s="1"/>
  <c r="AM50" i="11"/>
  <c r="AI28" i="11"/>
  <c r="AN28" i="11" s="1"/>
  <c r="AR28" i="11" s="1"/>
  <c r="AM28" i="11"/>
  <c r="AQ28" i="11" s="1"/>
  <c r="AF24" i="11"/>
  <c r="AM24" i="11"/>
  <c r="AQ24" i="11" s="1"/>
  <c r="AE14" i="11"/>
  <c r="AE13" i="11" s="1"/>
  <c r="AF21" i="11"/>
  <c r="AN21" i="11" s="1"/>
  <c r="AR21" i="11" s="1"/>
  <c r="AM21" i="11"/>
  <c r="AQ21" i="11" s="1"/>
  <c r="AH14" i="11"/>
  <c r="AH13" i="11" s="1"/>
  <c r="U72" i="11"/>
  <c r="AR86" i="11"/>
  <c r="AR71" i="11" s="1"/>
  <c r="AG14" i="11"/>
  <c r="AG13" i="11" s="1"/>
  <c r="AQ65" i="11"/>
  <c r="AQ66" i="11"/>
  <c r="U70" i="11"/>
  <c r="P101" i="11"/>
  <c r="AP100" i="8"/>
  <c r="V105" i="8"/>
  <c r="AJ102" i="8"/>
  <c r="AK17" i="8"/>
  <c r="AG17" i="8"/>
  <c r="L18" i="8"/>
  <c r="N18" i="8"/>
  <c r="K14" i="8"/>
  <c r="K13" i="8" s="1"/>
  <c r="K100" i="8" s="1"/>
  <c r="AF69" i="8"/>
  <c r="AN69" i="8" s="1"/>
  <c r="AM69" i="8"/>
  <c r="M72" i="8"/>
  <c r="U72" i="8" s="1"/>
  <c r="T72" i="8"/>
  <c r="M95" i="8"/>
  <c r="U95" i="8" s="1"/>
  <c r="T95" i="8"/>
  <c r="AG72" i="8"/>
  <c r="AH72" i="8" s="1"/>
  <c r="AI72" i="8" s="1"/>
  <c r="AD102" i="8"/>
  <c r="AE72" i="8"/>
  <c r="AI20" i="8"/>
  <c r="AN20" i="8" s="1"/>
  <c r="AM20" i="8"/>
  <c r="AM14" i="8" s="1"/>
  <c r="AM13" i="8" s="1"/>
  <c r="S100" i="8"/>
  <c r="AN56" i="8"/>
  <c r="M90" i="8"/>
  <c r="N102" i="8"/>
  <c r="G53" i="12"/>
  <c r="V90" i="12"/>
  <c r="D89" i="12"/>
  <c r="X89" i="12"/>
  <c r="M88" i="12"/>
  <c r="X85" i="12"/>
  <c r="M84" i="12"/>
  <c r="X84" i="12" s="1"/>
  <c r="X76" i="12"/>
  <c r="M53" i="12"/>
  <c r="X71" i="12"/>
  <c r="W71" i="12"/>
  <c r="J70" i="12"/>
  <c r="V63" i="12"/>
  <c r="D58" i="12"/>
  <c r="X29" i="12"/>
  <c r="M26" i="12"/>
  <c r="X26" i="12" s="1"/>
  <c r="Q12" i="12"/>
  <c r="L106" i="12"/>
  <c r="U90" i="6"/>
  <c r="T53" i="12"/>
  <c r="V54" i="12"/>
  <c r="N105" i="12"/>
  <c r="S12" i="12"/>
  <c r="AF74" i="11"/>
  <c r="AE72" i="11"/>
  <c r="AE102" i="11" s="1"/>
  <c r="AM74" i="11"/>
  <c r="AI60" i="11"/>
  <c r="AN60" i="11" s="1"/>
  <c r="AM60" i="11"/>
  <c r="O31" i="11"/>
  <c r="N14" i="11"/>
  <c r="N13" i="11" s="1"/>
  <c r="N100" i="11" s="1"/>
  <c r="AM99" i="11"/>
  <c r="AQ99" i="11" s="1"/>
  <c r="AF99" i="11"/>
  <c r="AN99" i="11" s="1"/>
  <c r="AR99" i="11" s="1"/>
  <c r="AH95" i="11"/>
  <c r="AG91" i="11"/>
  <c r="AG90" i="11" s="1"/>
  <c r="M40" i="11"/>
  <c r="U40" i="11" s="1"/>
  <c r="AR40" i="11" s="1"/>
  <c r="T40" i="11"/>
  <c r="AQ40" i="11" s="1"/>
  <c r="M35" i="11"/>
  <c r="U35" i="11" s="1"/>
  <c r="T35" i="11"/>
  <c r="AI34" i="11"/>
  <c r="AN34" i="11" s="1"/>
  <c r="AR34" i="11" s="1"/>
  <c r="AM34" i="11"/>
  <c r="AQ34" i="11" s="1"/>
  <c r="AL14" i="11"/>
  <c r="AL13" i="11" s="1"/>
  <c r="AL100" i="11" s="1"/>
  <c r="AR61" i="11"/>
  <c r="AR16" i="11" s="1"/>
  <c r="AN16" i="11"/>
  <c r="AI70" i="11"/>
  <c r="AN70" i="11" s="1"/>
  <c r="AN101" i="11" s="1"/>
  <c r="AM70" i="11"/>
  <c r="AM101" i="11" s="1"/>
  <c r="AQ77" i="11"/>
  <c r="T72" i="11"/>
  <c r="AN20" i="11"/>
  <c r="P72" i="11"/>
  <c r="AM23" i="11"/>
  <c r="AI23" i="11"/>
  <c r="AN23" i="11" s="1"/>
  <c r="AR65" i="11"/>
  <c r="AR66" i="11"/>
  <c r="AQ70" i="11"/>
  <c r="AQ101" i="11" s="1"/>
  <c r="T101" i="11"/>
  <c r="M71" i="8"/>
  <c r="T71" i="8"/>
  <c r="T102" i="8" s="1"/>
  <c r="L102" i="8"/>
  <c r="Q100" i="8"/>
  <c r="AI14" i="8"/>
  <c r="AI13" i="8" s="1"/>
  <c r="AN18" i="8"/>
  <c r="P70" i="8"/>
  <c r="O101" i="8"/>
  <c r="M69" i="8"/>
  <c r="U69" i="8" s="1"/>
  <c r="T69" i="8"/>
  <c r="AE90" i="8"/>
  <c r="AG90" i="8"/>
  <c r="AH90" i="8" s="1"/>
  <c r="AI90" i="8" s="1"/>
  <c r="AE68" i="8"/>
  <c r="AG68" i="8"/>
  <c r="AH68" i="8" s="1"/>
  <c r="AI68" i="8" s="1"/>
  <c r="M38" i="8"/>
  <c r="U38" i="8" s="1"/>
  <c r="T38" i="8"/>
  <c r="R100" i="8"/>
  <c r="M91" i="8"/>
  <c r="U91" i="8" s="1"/>
  <c r="T91" i="8"/>
  <c r="AF41" i="8"/>
  <c r="AN41" i="8" s="1"/>
  <c r="AM41" i="8"/>
  <c r="N90" i="8"/>
  <c r="O90" i="8" s="1"/>
  <c r="P90" i="8" s="1"/>
  <c r="AD100" i="8"/>
  <c r="P17" i="8"/>
  <c r="O102" i="8"/>
  <c r="I105" i="12" l="1"/>
  <c r="I106" i="12" s="1"/>
  <c r="AE100" i="11"/>
  <c r="W89" i="12"/>
  <c r="J53" i="12"/>
  <c r="X53" i="12" s="1"/>
  <c r="AQ100" i="8"/>
  <c r="AN34" i="8"/>
  <c r="AN14" i="8" s="1"/>
  <c r="AN13" i="8" s="1"/>
  <c r="G105" i="8"/>
  <c r="X88" i="12"/>
  <c r="K105" i="12"/>
  <c r="S105" i="12" s="1"/>
  <c r="R53" i="12"/>
  <c r="V58" i="12"/>
  <c r="R105" i="12"/>
  <c r="G12" i="12"/>
  <c r="V12" i="12" s="1"/>
  <c r="R106" i="12"/>
  <c r="X100" i="11"/>
  <c r="Q90" i="7"/>
  <c r="G100" i="11"/>
  <c r="G104" i="11" s="1"/>
  <c r="G105" i="11" s="1"/>
  <c r="AP68" i="11"/>
  <c r="AP100" i="11" s="1"/>
  <c r="AP103" i="11" s="1"/>
  <c r="AR37" i="11"/>
  <c r="AQ92" i="11"/>
  <c r="T91" i="11"/>
  <c r="T90" i="11" s="1"/>
  <c r="U75" i="11"/>
  <c r="M69" i="11"/>
  <c r="M68" i="11" s="1"/>
  <c r="AF69" i="11"/>
  <c r="AF68" i="11" s="1"/>
  <c r="AI19" i="11"/>
  <c r="AH17" i="11"/>
  <c r="L17" i="11"/>
  <c r="L102" i="11" s="1"/>
  <c r="M19" i="11"/>
  <c r="O19" i="11"/>
  <c r="N17" i="11"/>
  <c r="N102" i="11" s="1"/>
  <c r="AQ49" i="11"/>
  <c r="AF93" i="11"/>
  <c r="AN93" i="11" s="1"/>
  <c r="AR93" i="11" s="1"/>
  <c r="AM93" i="11"/>
  <c r="AQ93" i="11" s="1"/>
  <c r="AF17" i="11"/>
  <c r="AN19" i="11"/>
  <c r="P91" i="11"/>
  <c r="P90" i="11" s="1"/>
  <c r="U92" i="11"/>
  <c r="U91" i="11" s="1"/>
  <c r="U90" i="11" s="1"/>
  <c r="AQ75" i="11"/>
  <c r="T69" i="11"/>
  <c r="T68" i="11" s="1"/>
  <c r="O12" i="7" s="1"/>
  <c r="AR92" i="11"/>
  <c r="AI41" i="11"/>
  <c r="AN41" i="11" s="1"/>
  <c r="AR41" i="11" s="1"/>
  <c r="AM41" i="11"/>
  <c r="AR49" i="11"/>
  <c r="AQ18" i="11"/>
  <c r="P11" i="6"/>
  <c r="Y17" i="8"/>
  <c r="Y102" i="8" s="1"/>
  <c r="X102" i="8"/>
  <c r="AI91" i="8"/>
  <c r="AN91" i="8" s="1"/>
  <c r="AM91" i="8"/>
  <c r="AG101" i="8"/>
  <c r="AH70" i="8"/>
  <c r="W48" i="12"/>
  <c r="X48" i="12"/>
  <c r="AR23" i="11"/>
  <c r="AI14" i="11"/>
  <c r="AI13" i="11" s="1"/>
  <c r="V15" i="6"/>
  <c r="AR35" i="11"/>
  <c r="AI95" i="11"/>
  <c r="AI91" i="11" s="1"/>
  <c r="AI90" i="11" s="1"/>
  <c r="AH91" i="11"/>
  <c r="AH90" i="11" s="1"/>
  <c r="P31" i="11"/>
  <c r="P14" i="11" s="1"/>
  <c r="P13" i="11" s="1"/>
  <c r="P100" i="11" s="1"/>
  <c r="O14" i="11"/>
  <c r="O13" i="11" s="1"/>
  <c r="O100" i="11" s="1"/>
  <c r="T21" i="6"/>
  <c r="V21" i="6" s="1"/>
  <c r="AR60" i="11"/>
  <c r="W70" i="12"/>
  <c r="X70" i="12"/>
  <c r="V89" i="12"/>
  <c r="D88" i="12"/>
  <c r="V88" i="12" s="1"/>
  <c r="U90" i="8"/>
  <c r="M18" i="8"/>
  <c r="L14" i="8"/>
  <c r="L13" i="8" s="1"/>
  <c r="L100" i="8" s="1"/>
  <c r="AL17" i="8"/>
  <c r="AL102" i="8" s="1"/>
  <c r="AK102" i="8"/>
  <c r="AN24" i="11"/>
  <c r="AR24" i="11" s="1"/>
  <c r="AF14" i="11"/>
  <c r="AF13" i="11" s="1"/>
  <c r="AR50" i="11"/>
  <c r="V17" i="6"/>
  <c r="AQ43" i="11"/>
  <c r="R16" i="6"/>
  <c r="AI74" i="11"/>
  <c r="AH72" i="11"/>
  <c r="AH102" i="11" s="1"/>
  <c r="AH73" i="11"/>
  <c r="U90" i="7"/>
  <c r="Y100" i="11"/>
  <c r="P102" i="8"/>
  <c r="U17" i="8"/>
  <c r="AG100" i="8"/>
  <c r="AF68" i="8"/>
  <c r="AM68" i="8"/>
  <c r="AE100" i="8"/>
  <c r="AM90" i="8"/>
  <c r="AF90" i="8"/>
  <c r="AN90" i="8" s="1"/>
  <c r="U70" i="8"/>
  <c r="U101" i="8" s="1"/>
  <c r="P101" i="8"/>
  <c r="AI100" i="8"/>
  <c r="U71" i="8"/>
  <c r="M102" i="8"/>
  <c r="AQ23" i="11"/>
  <c r="AN14" i="11"/>
  <c r="AN13" i="11" s="1"/>
  <c r="T11" i="6"/>
  <c r="AR20" i="11"/>
  <c r="AM14" i="11"/>
  <c r="AM13" i="11" s="1"/>
  <c r="R15" i="6"/>
  <c r="AQ35" i="11"/>
  <c r="P21" i="6"/>
  <c r="R21" i="6" s="1"/>
  <c r="AQ60" i="11"/>
  <c r="AQ74" i="11"/>
  <c r="AQ72" i="11" s="1"/>
  <c r="AM72" i="11"/>
  <c r="AF72" i="11"/>
  <c r="AF102" i="11" s="1"/>
  <c r="AN74" i="11"/>
  <c r="N106" i="12"/>
  <c r="D53" i="12"/>
  <c r="V53" i="12" s="1"/>
  <c r="Q105" i="12"/>
  <c r="W53" i="12"/>
  <c r="G105" i="12"/>
  <c r="T90" i="8"/>
  <c r="AM72" i="8"/>
  <c r="AE102" i="8"/>
  <c r="AF72" i="8"/>
  <c r="AH100" i="8"/>
  <c r="O18" i="8"/>
  <c r="N14" i="8"/>
  <c r="N13" i="8" s="1"/>
  <c r="N100" i="8" s="1"/>
  <c r="AG102" i="8"/>
  <c r="AH17" i="8"/>
  <c r="AQ101" i="8"/>
  <c r="AP103" i="8"/>
  <c r="U101" i="11"/>
  <c r="AR70" i="11"/>
  <c r="AR101" i="11" s="1"/>
  <c r="AG100" i="11"/>
  <c r="AQ50" i="11"/>
  <c r="R17" i="6"/>
  <c r="AM95" i="11"/>
  <c r="AN95" i="11"/>
  <c r="AF91" i="11"/>
  <c r="AF90" i="11" s="1"/>
  <c r="T31" i="11"/>
  <c r="U31" i="11"/>
  <c r="M14" i="11"/>
  <c r="M13" i="11" s="1"/>
  <c r="M100" i="11" s="1"/>
  <c r="AR43" i="11"/>
  <c r="V16" i="6"/>
  <c r="T106" i="12"/>
  <c r="M12" i="12"/>
  <c r="X13" i="12"/>
  <c r="V85" i="12"/>
  <c r="D84" i="12"/>
  <c r="V84" i="12" s="1"/>
  <c r="Q88" i="12"/>
  <c r="S88" i="12"/>
  <c r="J105" i="12"/>
  <c r="M68" i="8"/>
  <c r="U68" i="8" s="1"/>
  <c r="T68" i="8"/>
  <c r="R11" i="6" l="1"/>
  <c r="P90" i="6"/>
  <c r="K106" i="12"/>
  <c r="Q106" i="12" s="1"/>
  <c r="W12" i="12"/>
  <c r="S13" i="7"/>
  <c r="AN17" i="11"/>
  <c r="O17" i="11"/>
  <c r="O102" i="11" s="1"/>
  <c r="P19" i="11"/>
  <c r="P17" i="11" s="1"/>
  <c r="P102" i="11" s="1"/>
  <c r="M17" i="11"/>
  <c r="M102" i="11" s="1"/>
  <c r="U19" i="11"/>
  <c r="U69" i="11"/>
  <c r="U68" i="11" s="1"/>
  <c r="S12" i="7" s="1"/>
  <c r="AR75" i="11"/>
  <c r="AM17" i="11"/>
  <c r="AM102" i="11" s="1"/>
  <c r="AQ41" i="11"/>
  <c r="T19" i="11"/>
  <c r="AI17" i="11"/>
  <c r="O13" i="7"/>
  <c r="AM100" i="8"/>
  <c r="AH101" i="8"/>
  <c r="AI70" i="8"/>
  <c r="AM70" i="8"/>
  <c r="AM101" i="8" s="1"/>
  <c r="J106" i="12"/>
  <c r="W105" i="12"/>
  <c r="M105" i="12"/>
  <c r="X12" i="12"/>
  <c r="AR31" i="11"/>
  <c r="U14" i="11"/>
  <c r="U13" i="11" s="1"/>
  <c r="S11" i="7" s="1"/>
  <c r="AQ95" i="11"/>
  <c r="AQ91" i="11" s="1"/>
  <c r="AQ90" i="11" s="1"/>
  <c r="AM91" i="11"/>
  <c r="AM90" i="11" s="1"/>
  <c r="AM17" i="8"/>
  <c r="AM102" i="8" s="1"/>
  <c r="AI17" i="8"/>
  <c r="AH102" i="8"/>
  <c r="G106" i="12"/>
  <c r="AR14" i="11"/>
  <c r="AR13" i="11" s="1"/>
  <c r="AF100" i="11"/>
  <c r="M14" i="8"/>
  <c r="M13" i="8" s="1"/>
  <c r="M100" i="8" s="1"/>
  <c r="D105" i="12"/>
  <c r="D106" i="12" s="1"/>
  <c r="AQ31" i="11"/>
  <c r="T14" i="11"/>
  <c r="T13" i="11" s="1"/>
  <c r="O11" i="7" s="1"/>
  <c r="AR95" i="11"/>
  <c r="AR91" i="11" s="1"/>
  <c r="AR90" i="11" s="1"/>
  <c r="AN91" i="11"/>
  <c r="AN90" i="11" s="1"/>
  <c r="P18" i="8"/>
  <c r="P14" i="8" s="1"/>
  <c r="P13" i="8" s="1"/>
  <c r="P100" i="8" s="1"/>
  <c r="O14" i="8"/>
  <c r="O13" i="8" s="1"/>
  <c r="O100" i="8" s="1"/>
  <c r="AN72" i="8"/>
  <c r="AF102" i="8"/>
  <c r="AN72" i="11"/>
  <c r="AN102" i="11" s="1"/>
  <c r="AR74" i="11"/>
  <c r="AR72" i="11" s="1"/>
  <c r="V11" i="6"/>
  <c r="AQ14" i="11"/>
  <c r="AQ13" i="11" s="1"/>
  <c r="AN68" i="8"/>
  <c r="AN100" i="8" s="1"/>
  <c r="AF100" i="8"/>
  <c r="U102" i="8"/>
  <c r="AM73" i="11"/>
  <c r="AH69" i="11"/>
  <c r="AH68" i="11" s="1"/>
  <c r="AH100" i="11" s="1"/>
  <c r="AI73" i="11"/>
  <c r="AI72" i="11"/>
  <c r="AI102" i="11" s="1"/>
  <c r="T18" i="8"/>
  <c r="T14" i="8" s="1"/>
  <c r="T13" i="8" s="1"/>
  <c r="T100" i="8" s="1"/>
  <c r="S106" i="12" l="1"/>
  <c r="T17" i="11"/>
  <c r="AQ19" i="11"/>
  <c r="AR19" i="11"/>
  <c r="U17" i="11"/>
  <c r="AI101" i="8"/>
  <c r="AN70" i="8"/>
  <c r="AN101" i="8" s="1"/>
  <c r="AI69" i="11"/>
  <c r="AI68" i="11" s="1"/>
  <c r="AI100" i="11" s="1"/>
  <c r="AN73" i="11"/>
  <c r="AQ73" i="11"/>
  <c r="AQ69" i="11" s="1"/>
  <c r="AQ68" i="11" s="1"/>
  <c r="AM69" i="11"/>
  <c r="AM68" i="11" s="1"/>
  <c r="AQ100" i="11"/>
  <c r="R13" i="6"/>
  <c r="O90" i="6"/>
  <c r="U18" i="8"/>
  <c r="U14" i="8" s="1"/>
  <c r="U13" i="8" s="1"/>
  <c r="U100" i="8" s="1"/>
  <c r="V105" i="12"/>
  <c r="U100" i="11"/>
  <c r="V14" i="6"/>
  <c r="V13" i="7"/>
  <c r="T100" i="11"/>
  <c r="V106" i="12"/>
  <c r="AI102" i="8"/>
  <c r="AN17" i="8"/>
  <c r="AN102" i="8" s="1"/>
  <c r="R14" i="6"/>
  <c r="R13" i="7"/>
  <c r="V13" i="6"/>
  <c r="S90" i="6"/>
  <c r="M106" i="12"/>
  <c r="X106" i="12" s="1"/>
  <c r="X105" i="12"/>
  <c r="W106" i="12"/>
  <c r="T102" i="11" l="1"/>
  <c r="AQ17" i="11"/>
  <c r="AQ102" i="11" s="1"/>
  <c r="AR17" i="11"/>
  <c r="AR102" i="11" s="1"/>
  <c r="U102" i="11"/>
  <c r="O90" i="7"/>
  <c r="R11" i="7"/>
  <c r="U114" i="11"/>
  <c r="Y114" i="11" s="1"/>
  <c r="S90" i="7"/>
  <c r="V11" i="7"/>
  <c r="AM100" i="11"/>
  <c r="U118" i="11" s="1"/>
  <c r="Y118" i="11" s="1"/>
  <c r="AR73" i="11"/>
  <c r="AR69" i="11" s="1"/>
  <c r="AR68" i="11" s="1"/>
  <c r="AR100" i="11" s="1"/>
  <c r="AN69" i="11"/>
  <c r="AN68" i="11" s="1"/>
  <c r="U115" i="11"/>
  <c r="Y115" i="11" s="1"/>
  <c r="AN100" i="11" l="1"/>
  <c r="R12" i="7"/>
  <c r="P90" i="7"/>
  <c r="R12" i="6"/>
  <c r="R90" i="6" s="1"/>
  <c r="U110" i="11"/>
  <c r="Y110" i="11" s="1"/>
  <c r="R90" i="7"/>
  <c r="E25" i="5" l="1"/>
  <c r="V12" i="7"/>
  <c r="V90" i="7" s="1"/>
  <c r="T90" i="7"/>
  <c r="U119" i="11"/>
  <c r="Y119" i="11" s="1"/>
  <c r="U111" i="11"/>
  <c r="Y111" i="11" s="1"/>
  <c r="V12" i="6"/>
  <c r="V90" i="6" s="1"/>
  <c r="T90" i="6"/>
  <c r="F25" i="5" l="1"/>
</calcChain>
</file>

<file path=xl/sharedStrings.xml><?xml version="1.0" encoding="utf-8"?>
<sst xmlns="http://schemas.openxmlformats.org/spreadsheetml/2006/main" count="1819" uniqueCount="446">
  <si>
    <t>Інші субвенції з місцевого бюджету</t>
  </si>
  <si>
    <t>Додаток 1</t>
  </si>
  <si>
    <t xml:space="preserve">     (код бюджету)</t>
  </si>
  <si>
    <r>
      <t>2022 рік</t>
    </r>
    <r>
      <rPr>
        <b/>
        <sz val="14"/>
        <color indexed="8"/>
        <rFont val="Calibri"/>
        <family val="2"/>
        <charset val="204"/>
      </rPr>
      <t>³</t>
    </r>
  </si>
  <si>
    <t>Загальний фонд</t>
  </si>
  <si>
    <t>Спеціальний фонд</t>
  </si>
  <si>
    <t>(грн.)</t>
  </si>
  <si>
    <t>Показник</t>
  </si>
  <si>
    <t>Доходи (з трансфертами)</t>
  </si>
  <si>
    <t>Видатки (з трансфертами)</t>
  </si>
  <si>
    <t>Кредитування усього, у тому числі:</t>
  </si>
  <si>
    <t>- надання кредитів з бюджету</t>
  </si>
  <si>
    <t>- повернення кредитів до бюджету</t>
  </si>
  <si>
    <t>Фінансування (дефіцит "-"/ профіцит "+")</t>
  </si>
  <si>
    <t>Разом</t>
  </si>
  <si>
    <t>¹ - показники, визначені в рішенні про бюджет Новоукраїнської міської мОТГ на 2019 рік, з урахуванням внесених змін до нього;</t>
  </si>
  <si>
    <r>
      <rPr>
        <sz val="10"/>
        <color indexed="8"/>
        <rFont val="Calibri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показники, визначені в проекті рішення про бюджет Новоукраїнської міської ОТГ на 2020 рік;</t>
    </r>
  </si>
  <si>
    <r>
      <rPr>
        <sz val="10"/>
        <color indexed="8"/>
        <rFont val="Calibri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 xml:space="preserve"> - індикативні прогнозні показники бюджету Новоукраїнської міської ОТГ на 2021-2022 роки.</t>
    </r>
  </si>
  <si>
    <t>(грн)</t>
  </si>
  <si>
    <r>
      <t>Код Програмної класифікації видатків та кредитування місцевих бюджетів</t>
    </r>
    <r>
      <rPr>
        <vertAlign val="superscript"/>
        <sz val="8"/>
        <rFont val="Times New Roman"/>
        <family val="1"/>
        <charset val="204"/>
      </rPr>
      <t>1</t>
    </r>
  </si>
  <si>
    <r>
      <t>Код ТПКВКМБ /
ТКВКБМС</t>
    </r>
    <r>
      <rPr>
        <vertAlign val="superscript"/>
        <sz val="8"/>
        <rFont val="Times New Roman"/>
        <family val="1"/>
        <charset val="204"/>
      </rPr>
      <t>2</t>
    </r>
  </si>
  <si>
    <t>Код ТПКВК МБ</t>
  </si>
  <si>
    <t>Код Функціональної класифікації видатків та кредитування бюджету</t>
  </si>
  <si>
    <t xml:space="preserve">Найменування </t>
  </si>
  <si>
    <t>2020 рік</t>
  </si>
  <si>
    <t>2021 рік</t>
  </si>
  <si>
    <t>2022 рік</t>
  </si>
  <si>
    <t>у тому числі бюджет розвитку</t>
  </si>
  <si>
    <t>Усього</t>
  </si>
  <si>
    <t>1</t>
  </si>
  <si>
    <t>3</t>
  </si>
  <si>
    <t>0100000</t>
  </si>
  <si>
    <t>0100</t>
  </si>
  <si>
    <t>Державне управління</t>
  </si>
  <si>
    <t>0110000</t>
  </si>
  <si>
    <t>1000</t>
  </si>
  <si>
    <t>Освіта</t>
  </si>
  <si>
    <t>3000</t>
  </si>
  <si>
    <t>Соціальний захист та соціальне забезпечення</t>
  </si>
  <si>
    <t>4000</t>
  </si>
  <si>
    <t>Культура і мистецтво</t>
  </si>
  <si>
    <t>5000</t>
  </si>
  <si>
    <t>Фізична культура та спорт</t>
  </si>
  <si>
    <t>0110150</t>
  </si>
  <si>
    <t>6000</t>
  </si>
  <si>
    <t>0111</t>
  </si>
  <si>
    <t>Житлово - комунальне господарство</t>
  </si>
  <si>
    <t>7000</t>
  </si>
  <si>
    <t>Економічна діяльність</t>
  </si>
  <si>
    <t>0110180</t>
  </si>
  <si>
    <t>8000</t>
  </si>
  <si>
    <t>0133</t>
  </si>
  <si>
    <t>Інша діяльність</t>
  </si>
  <si>
    <t>0111160</t>
  </si>
  <si>
    <t>0990</t>
  </si>
  <si>
    <t>Інші програми, заклади та заходи у сфері освіти</t>
  </si>
  <si>
    <t>0113104</t>
  </si>
  <si>
    <t>9000</t>
  </si>
  <si>
    <t>1020</t>
  </si>
  <si>
    <t>Міжбюджетні трансферти</t>
  </si>
  <si>
    <t>0113112</t>
  </si>
  <si>
    <t>3112</t>
  </si>
  <si>
    <t>1040</t>
  </si>
  <si>
    <t>Заходи державної політики з питань дітей та їх соціального захисту</t>
  </si>
  <si>
    <t>0113121</t>
  </si>
  <si>
    <t>3121</t>
  </si>
  <si>
    <t>Утримання та забезпечення діяльності центрів соціальних служб для сім"ї, дітей та молоді</t>
  </si>
  <si>
    <t>0113133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</si>
  <si>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</si>
  <si>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</si>
  <si>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</si>
  <si>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</si>
  <si>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</si>
  <si>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</si>
  <si>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3191</t>
  </si>
  <si>
    <t>1030</t>
  </si>
  <si>
    <t>Інші видатки на соціальний захист ветеранів війни та праці</t>
  </si>
  <si>
    <t>0113210</t>
  </si>
  <si>
    <t>3210</t>
  </si>
  <si>
    <t>1050</t>
  </si>
  <si>
    <t>Організація та проведення громадських робіт</t>
  </si>
  <si>
    <t>0113241</t>
  </si>
  <si>
    <t>3241</t>
  </si>
  <si>
    <t>1090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</si>
  <si>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</si>
  <si>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</si>
  <si>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</si>
  <si>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</si>
  <si>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0115011</t>
  </si>
  <si>
    <t>5011</t>
  </si>
  <si>
    <t>0810</t>
  </si>
  <si>
    <t>Проведення навчально-тренувальних зборів і змагань з олімпійських видів спорту</t>
  </si>
  <si>
    <t>у тому числі за рахунок субвенції з місцевих бюджетів:</t>
  </si>
  <si>
    <t>0115031</t>
  </si>
  <si>
    <t>5031</t>
  </si>
  <si>
    <t>Утримання та навчально-тренувальна робота комунальних дитячо-юнацьких спортивних шкіл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</si>
  <si>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</si>
  <si>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</si>
  <si>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</si>
  <si>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</si>
  <si>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</si>
  <si>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</si>
  <si>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</si>
  <si>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0116030</t>
  </si>
  <si>
    <t>6030</t>
  </si>
  <si>
    <t>Організація благоустрою населених пунктів</t>
  </si>
  <si>
    <t>0116071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</si>
  <si>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</si>
  <si>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</si>
  <si>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</si>
  <si>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0116090</t>
  </si>
  <si>
    <t>6090</t>
  </si>
  <si>
    <t>Інша діяльність у сфері житлово-комунального господарства</t>
  </si>
  <si>
    <t>0117130</t>
  </si>
  <si>
    <t>7130</t>
  </si>
  <si>
    <t>0421</t>
  </si>
  <si>
    <t>Здійснення заходів із землеустрою</t>
  </si>
  <si>
    <t>0117330</t>
  </si>
  <si>
    <t>7330</t>
  </si>
  <si>
    <t>0443</t>
  </si>
  <si>
    <t>Будівництво інших об"єктів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</si>
  <si>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</si>
  <si>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</si>
  <si>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</si>
  <si>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</si>
  <si>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</si>
  <si>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</si>
  <si>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</si>
  <si>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</si>
  <si>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</si>
  <si>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</si>
  <si>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</si>
  <si>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</si>
  <si>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</si>
  <si>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0490</t>
  </si>
  <si>
    <t>Членські внески до асоціацій органів місцевого самоврядування</t>
  </si>
  <si>
    <t>0118120</t>
  </si>
  <si>
    <t>8120</t>
  </si>
  <si>
    <t>0320</t>
  </si>
  <si>
    <t>Заходи з організації рятування на водах</t>
  </si>
  <si>
    <t>0118230</t>
  </si>
  <si>
    <t>8230</t>
  </si>
  <si>
    <t>0380</t>
  </si>
  <si>
    <t>Інші заходи громадського порядку та безпеки</t>
  </si>
  <si>
    <t>0118340</t>
  </si>
  <si>
    <t>8340</t>
  </si>
  <si>
    <t>0540</t>
  </si>
  <si>
    <t>Природоохоронні заходи за рахунок цільових фондів</t>
  </si>
  <si>
    <t>0118420</t>
  </si>
  <si>
    <t>0830</t>
  </si>
  <si>
    <t>Інші заходи у сфері засобів масової інформації</t>
  </si>
  <si>
    <t>0118700</t>
  </si>
  <si>
    <t>Резервний фонд</t>
  </si>
  <si>
    <t>0119410</t>
  </si>
  <si>
    <t>0180</t>
  </si>
  <si>
    <t>Субвенція з місцевого бюджету на здійснення переданих видатків у сфері охорони здоров"я за рахунок коштів медичної субвенції</t>
  </si>
  <si>
    <t>у тому числі за рахунок субвенції з державного бюджету:</t>
  </si>
  <si>
    <t>Інші видатки</t>
  </si>
  <si>
    <t>0114080</t>
  </si>
  <si>
    <t>0119770</t>
  </si>
  <si>
    <t>0600000</t>
  </si>
  <si>
    <r>
      <t xml:space="preserve">Відділ освіти </t>
    </r>
    <r>
      <rPr>
        <b/>
        <sz val="11"/>
        <color indexed="8"/>
        <rFont val="Times New Roman"/>
        <family val="1"/>
        <charset val="204"/>
      </rPr>
      <t>міської ради</t>
    </r>
  </si>
  <si>
    <t>0610000</t>
  </si>
  <si>
    <t>у тому числі за рахунок субвенції з місцевого бюджету на здійснення переданих видатків у сфері освіти за рахунок коштів освітньої субвенції</t>
  </si>
  <si>
    <t>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</si>
  <si>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0611010</t>
  </si>
  <si>
    <t>1010</t>
  </si>
  <si>
    <t>0910</t>
  </si>
  <si>
    <t>Надання дошкільної освiти</t>
  </si>
  <si>
    <t>0611020</t>
  </si>
  <si>
    <t>0921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</si>
  <si>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</si>
  <si>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</si>
  <si>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</si>
  <si>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Надання позашкільної освіти позашкільними закладами освіти, заходи із позашкільної роботи з дітьми</t>
  </si>
  <si>
    <t>0611150</t>
  </si>
  <si>
    <t>1150</t>
  </si>
  <si>
    <t xml:space="preserve">Методичне забезпечення діяльності навчальних закладів </t>
  </si>
  <si>
    <t>0611160</t>
  </si>
  <si>
    <t>0611161</t>
  </si>
  <si>
    <t>1161</t>
  </si>
  <si>
    <t>Забезпечення діяльності інших закладів у сфері освіти</t>
  </si>
  <si>
    <t>0611162</t>
  </si>
  <si>
    <t>1162</t>
  </si>
  <si>
    <t>Інші програми та заходи у сфері освіти</t>
  </si>
  <si>
    <t>0613140</t>
  </si>
  <si>
    <t>1000000</t>
  </si>
  <si>
    <t>Відділ культури і туризму міської ради</t>
  </si>
  <si>
    <t>1010000</t>
  </si>
  <si>
    <t>1011100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</si>
  <si>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</si>
  <si>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</si>
  <si>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1014030</t>
  </si>
  <si>
    <t>4030</t>
  </si>
  <si>
    <t>0824</t>
  </si>
  <si>
    <t>Забезпечення діяльності бiблiотек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</si>
  <si>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</si>
  <si>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</si>
  <si>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</si>
  <si>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</si>
  <si>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</si>
  <si>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</si>
  <si>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</si>
  <si>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</si>
  <si>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</si>
  <si>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</si>
  <si>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>Інші заходи в галузі культури і мистецтва</t>
  </si>
  <si>
    <t>1017340</t>
  </si>
  <si>
    <t>7340</t>
  </si>
  <si>
    <t>Проектування, реставрація та охорона пам'яток архітектури</t>
  </si>
  <si>
    <t>1017622</t>
  </si>
  <si>
    <t>7622</t>
  </si>
  <si>
    <t>0470</t>
  </si>
  <si>
    <t>Реалізація програм і заходів в галузі туризму та курортів</t>
  </si>
  <si>
    <t xml:space="preserve">Всього </t>
  </si>
  <si>
    <t>Код відомчої класифікації</t>
  </si>
  <si>
    <t xml:space="preserve">Найменування головного розпорядника коштів </t>
  </si>
  <si>
    <t>Виконавчий комітет Новоукраїнської міської ради</t>
  </si>
  <si>
    <t>Відділ освіти виконавчого комітету Новоукраїнської міської ради</t>
  </si>
  <si>
    <t>Відділ культури і туризму виконавчого комітету Новоукраїнської міської ради</t>
  </si>
  <si>
    <t>Додаток 3</t>
  </si>
  <si>
    <t xml:space="preserve">до проєкту рішення </t>
  </si>
  <si>
    <t xml:space="preserve"> Новоукраїнської міської ради</t>
  </si>
  <si>
    <t xml:space="preserve">від 27 листопада  2019 року №                              </t>
  </si>
  <si>
    <t>РОЗПОДІЛ
видатків  бюджету Новоукраїнської міської об'єднаної територіальної громади на 2020 рік</t>
  </si>
  <si>
    <t>(код бюджету)</t>
  </si>
  <si>
    <t>(гривень)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</si>
  <si>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</si>
  <si>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</si>
  <si>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видатки споживання</t>
  </si>
  <si>
    <t>з них</t>
  </si>
  <si>
    <t>видатки розвитку</t>
  </si>
  <si>
    <t>з них капітальні видатки за рахунок коштів, що передаються із загального фонду до бюджету розвитку (спеціального фонду)</t>
  </si>
  <si>
    <t>оплата праці</t>
  </si>
  <si>
    <t>комунальні послуги та енергоносії</t>
  </si>
  <si>
    <t>2</t>
  </si>
  <si>
    <t xml:space="preserve">Міська  рада </t>
  </si>
  <si>
    <t>Міська рада</t>
  </si>
  <si>
    <t>у тому числі за рахунок субвенції з :</t>
  </si>
  <si>
    <t>державного бюджету:</t>
  </si>
  <si>
    <t>місцевих бюджетів: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</si>
  <si>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</si>
  <si>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</si>
  <si>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державного управління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</si>
  <si>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</si>
  <si>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</si>
  <si>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Будівництво інших об'єктів комунальної власності</t>
  </si>
  <si>
    <r>
      <t xml:space="preserve">Відділ освіти </t>
    </r>
    <r>
      <rPr>
        <b/>
        <sz val="12"/>
        <color indexed="8"/>
        <rFont val="Times New Roman"/>
        <family val="1"/>
        <charset val="204"/>
      </rPr>
      <t>міської ради</t>
    </r>
  </si>
  <si>
    <t>у тому числі за рахунок освітньої субвенції з державного бюджету</t>
  </si>
  <si>
    <t>у тому числі за рахунок освітньої субвенції з державного бюджету:</t>
  </si>
  <si>
    <t>0611170</t>
  </si>
  <si>
    <t>1170</t>
  </si>
  <si>
    <t>Забезпечення діяльності інклюзивно-ресурсних центрів</t>
  </si>
  <si>
    <t>1014040</t>
  </si>
  <si>
    <t>4040</t>
  </si>
  <si>
    <t>Забезпечення діяльності музеїв і виставок</t>
  </si>
  <si>
    <t>х</t>
  </si>
  <si>
    <t xml:space="preserve">Всього: </t>
  </si>
  <si>
    <t>у тому числі за рахунок субвенцій з державного бюджету</t>
  </si>
  <si>
    <t>у тому числі за рахунок субвенцій з місцевого бюджету</t>
  </si>
  <si>
    <t>__________________________________________________________________________________________________________</t>
  </si>
  <si>
    <t>нарахування на зарплату</t>
  </si>
  <si>
    <t>Разом 2100</t>
  </si>
  <si>
    <t>коеф. 2100*1,08 (2021)</t>
  </si>
  <si>
    <t>коеф. 2100*1,077 (2022)</t>
  </si>
  <si>
    <t>коеф. інші*1,053 (2021)</t>
  </si>
  <si>
    <t>коеф. інші*1,051 (2022)</t>
  </si>
  <si>
    <t>Інші</t>
  </si>
  <si>
    <t>Разом видатки з індексами 2021</t>
  </si>
  <si>
    <t>Разом видатки з індексами 2022</t>
  </si>
  <si>
    <t>коеф. 2270*1,08 (2021)</t>
  </si>
  <si>
    <t>коеф. 2270*1,061 (2022)</t>
  </si>
  <si>
    <t>БР 2021</t>
  </si>
  <si>
    <t>БР  2022</t>
  </si>
  <si>
    <t>КПКВК МБ</t>
  </si>
  <si>
    <t>Найменування бюджетної програми</t>
  </si>
  <si>
    <t>Найменування проекту (об"єкта), строк реалізації</t>
  </si>
  <si>
    <t xml:space="preserve">Усього </t>
  </si>
  <si>
    <t>Відділ освіти міської ради</t>
  </si>
  <si>
    <t>0117362</t>
  </si>
  <si>
    <t>0117363</t>
  </si>
  <si>
    <t>Виконання інвестиційних проектів в рамках здійснення заходів щодо соціально-економічного розвитку окремих територій</t>
  </si>
  <si>
    <t>Додаток 2</t>
  </si>
  <si>
    <t>ККД</t>
  </si>
  <si>
    <t>Найменування доходів</t>
  </si>
  <si>
    <r>
      <t>2022 рік</t>
    </r>
    <r>
      <rPr>
        <b/>
        <sz val="12"/>
        <color indexed="8"/>
        <rFont val="Calibri"/>
        <family val="2"/>
        <charset val="204"/>
      </rPr>
      <t>³</t>
    </r>
  </si>
  <si>
    <t>2022 р., %</t>
  </si>
  <si>
    <t>2021 р.</t>
  </si>
  <si>
    <t>2022 р.</t>
  </si>
  <si>
    <t>УСЬОГО</t>
  </si>
  <si>
    <t>Спецільний фонд</t>
  </si>
  <si>
    <t>ЗФ</t>
  </si>
  <si>
    <t>СФ</t>
  </si>
  <si>
    <t>-;+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</si>
  <si>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</si>
  <si>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</si>
  <si>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</si>
  <si>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</si>
  <si>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</si>
  <si>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</si>
  <si>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</si>
  <si>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</si>
  <si>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</si>
  <si>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</si>
  <si>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</si>
  <si>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</si>
  <si>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</si>
  <si>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</si>
  <si>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</si>
  <si>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</si>
  <si>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</si>
  <si>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</si>
  <si>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</si>
  <si>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</si>
  <si>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</si>
  <si>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</si>
  <si>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</si>
  <si>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</si>
  <si>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</si>
  <si>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</si>
  <si>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</si>
  <si>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</si>
  <si>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</si>
  <si>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</si>
  <si>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</si>
  <si>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</si>
  <si>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</si>
  <si>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</si>
  <si>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</si>
  <si>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</si>
  <si>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</si>
  <si>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</si>
  <si>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</si>
  <si>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</si>
  <si>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</si>
  <si>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</si>
  <si>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</si>
  <si>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</si>
  <si>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</si>
  <si>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</si>
  <si>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</si>
  <si>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</si>
  <si>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</si>
  <si>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</si>
  <si>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</si>
  <si>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</si>
  <si>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</si>
  <si>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</si>
  <si>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</si>
  <si>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</si>
  <si>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</si>
  <si>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</si>
  <si>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</si>
  <si>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</si>
  <si>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</si>
  <si>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</si>
  <si>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</si>
  <si>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</si>
  <si>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</si>
  <si>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</si>
  <si>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</si>
  <si>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</si>
  <si>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</si>
  <si>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</si>
  <si>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</si>
  <si>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</si>
  <si>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Офіційні трансферти  </t>
  </si>
  <si>
    <t>Від органів державного управління  </t>
  </si>
  <si>
    <t>Субвенції з державного бюджету місцевим бюджетам</t>
  </si>
  <si>
    <t>Субвенція з державного бюджету місцевим бюджетам на формування інфраструктури об`єднаних територіальних громад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</si>
  <si>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</si>
  <si>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</si>
  <si>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</si>
  <si>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</si>
  <si>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</si>
  <si>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</si>
  <si>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</si>
  <si>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</si>
  <si>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</si>
  <si>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</si>
  <si>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</si>
  <si>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</si>
  <si>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</si>
  <si>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2021=</t>
  </si>
  <si>
    <t>2022=</t>
  </si>
  <si>
    <t>РАЗОМ</t>
  </si>
  <si>
    <t>доходи</t>
  </si>
  <si>
    <t>РАЗОМ заг+спец 2021</t>
  </si>
  <si>
    <t>РАЗОМ заг+спец 2022</t>
  </si>
  <si>
    <t xml:space="preserve">заг фонд </t>
  </si>
  <si>
    <t xml:space="preserve">спец фонд </t>
  </si>
  <si>
    <t>Додаток 4</t>
  </si>
  <si>
    <t xml:space="preserve"> </t>
  </si>
  <si>
    <t>Додаток 5</t>
  </si>
  <si>
    <t>Реконструкція центрального міського стадіону за адресою: вул. Гіталова, 13/74 м. Новоукраїнка Кіровоградська область (з виготовленням проектно- кошторисної документації) - співфінансування</t>
  </si>
  <si>
    <t>Плата за оренду майна бюджетних установ, що здійснюється відповідно до Закону України "Про оренду державного та комунального майна"  </t>
  </si>
  <si>
    <t xml:space="preserve"> 2020 рік¹</t>
  </si>
  <si>
    <r>
      <t>2021 рік</t>
    </r>
    <r>
      <rPr>
        <b/>
        <sz val="12"/>
        <color indexed="8"/>
        <rFont val="Calibri"/>
        <family val="2"/>
        <charset val="204"/>
      </rPr>
      <t>²</t>
    </r>
  </si>
  <si>
    <r>
      <t>2023 рік</t>
    </r>
    <r>
      <rPr>
        <b/>
        <sz val="12"/>
        <color indexed="8"/>
        <rFont val="Calibri"/>
        <family val="2"/>
        <charset val="204"/>
      </rPr>
      <t>³</t>
    </r>
  </si>
  <si>
    <t>Доходи міського бюджету Новоукраїнської міської ради на 2020-2023 роки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</si>
  <si>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</si>
  <si>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¹ - показники, визначені в рішенні про бюджет Новоукраїнської міської ОТГ на 2020 рік, з урахуванням внесених змін до нього станом на 01.08.2020 + фактичні надходження за період з 01.01.2020-31.07.2020;</t>
  </si>
  <si>
    <r>
      <rPr>
        <sz val="10"/>
        <color indexed="8"/>
        <rFont val="Calibri"/>
        <family val="2"/>
        <charset val="204"/>
      </rPr>
      <t>²</t>
    </r>
    <r>
      <rPr>
        <sz val="10"/>
        <color indexed="8"/>
        <rFont val="Times New Roman"/>
        <family val="1"/>
        <charset val="204"/>
      </rPr>
      <t xml:space="preserve"> - показники, визначені в проекті рішення про бюджет Новоукраїнської міської ОТГ на 2021 рік;</t>
    </r>
  </si>
  <si>
    <r>
      <rPr>
        <sz val="10"/>
        <color indexed="8"/>
        <rFont val="Calibri"/>
        <family val="2"/>
        <charset val="204"/>
      </rPr>
      <t>³</t>
    </r>
    <r>
      <rPr>
        <sz val="10"/>
        <color indexed="8"/>
        <rFont val="Times New Roman"/>
        <family val="1"/>
        <charset val="204"/>
      </rPr>
      <t xml:space="preserve"> - індикативні прогнозні показники бюджету Новоукраїнської міської ОТГ на 2022-2023 роки.</t>
    </r>
  </si>
  <si>
    <t>2023 р., %</t>
  </si>
  <si>
    <t>2023 р.</t>
  </si>
  <si>
    <r>
      <t>2020 рік</t>
    </r>
    <r>
      <rPr>
        <b/>
        <sz val="14"/>
        <color indexed="8"/>
        <rFont val="Calibri"/>
        <family val="2"/>
        <charset val="204"/>
      </rPr>
      <t>¹</t>
    </r>
  </si>
  <si>
    <r>
      <t>2021 рік</t>
    </r>
    <r>
      <rPr>
        <b/>
        <sz val="14"/>
        <color indexed="8"/>
        <rFont val="Calibri"/>
        <family val="2"/>
        <charset val="204"/>
      </rPr>
      <t>²</t>
    </r>
  </si>
  <si>
    <r>
      <t>2023 рік</t>
    </r>
    <r>
      <rPr>
        <b/>
        <sz val="14"/>
        <color indexed="8"/>
        <rFont val="Calibri"/>
        <family val="2"/>
        <charset val="204"/>
      </rPr>
      <t>³</t>
    </r>
  </si>
  <si>
    <t>Разом видатки з індексами 2023</t>
  </si>
  <si>
    <t>2023 рік</t>
  </si>
  <si>
    <t>РОЗПОДІЛ
видатків  бюджету Новоукраїнської міської об'єднаної територіальної громади на 2021-2023 рік</t>
  </si>
  <si>
    <t>Виготовлення проектно-кошторисної документації та експертизи "Капітальний ремонт тротуару по вул. Соборній ( від пров. Лікарняного до буд.№137 по вул. Соборній в м. Новоукраїнка, Кіровоградської області</t>
  </si>
  <si>
    <t>Експертиза проекту "Капітальний ремонт (відновлення частини тротуару по вул.Соборній від вул. В.Демченка до пров. Харківського в м. Новоукраїнка, Кіровоградської області</t>
  </si>
  <si>
    <t>Капітальний ремонт (відновлення) частини тротуару по вул. Соборній від вул. В.Демченка до пров. Харківського в м. Новоукраїнка Кіровоградської області</t>
  </si>
  <si>
    <t>Реконструкція території парку з поліпшеною інфраструктурою для бізнесу та громадян в м. Новоукраїнка "Сквер на Соборній", що буде виконуватись за кошти  бюджету розвитку  Новоукраїнської  міської об'єднаної територіальної громади, кошти  Програми МТД DOBRE та інші не заборонені законодавством кошти</t>
  </si>
  <si>
    <t xml:space="preserve">Реконструкція мереж вуличного освітлення від КТП – 130  по   вул. Шевченка, Одеська, пров. Ковальський, Рильського  в м. Новоукраїнка   Кіровоградської області </t>
  </si>
  <si>
    <t>Реконструкція мереж вуличного освітлення від КТП – 670  по   вул. Андріяша, Благодатна, Героїв України в  м. Новоукраїнка Кіровоградської області</t>
  </si>
  <si>
    <t>Реконструкція мереж вуличного освітлення від КТП – 105  по вул. Героїв України, Покровська, Шевченка, Соборна  в м. Новоукраїнка, Кіровоградської області</t>
  </si>
  <si>
    <t xml:space="preserve">Реконструкція мереж вуличного освітлення від КТП-30 по  вул. Благодатна, Шевченка, пров. Ушинського в м. Новоукраїнка, Кіровоградської області </t>
  </si>
  <si>
    <t>Реконструкція мереж вуличного освітлення від МТП-2 по  вул. Волошкова, Каховська, Паризька пров. Херсонський в м. Новоукраїнка, Кіровоградської області(виготовлення проектно-кошторисної документації та проведення експертизи)</t>
  </si>
  <si>
    <t>Реконструкція мереж вуличного освітлення від КТП – 4  по  вул. Івана Богуна, Федора Левицького, Набережна, пров. Злагоди  в м. Новоукраїнка, Кіровоградської області (виготовлення проектно-кошторисної документації та проведення експертизи)</t>
  </si>
  <si>
    <t>Реконструкція мереж вуличного освітлення від КТП – 79  по    вул. Сільськогосподарська, Достоєвського, Сосюри, Сковороди, Карпенка Карого в  с. Звірівка Новоукраїнського району Кіровоградської області (виготовлення проектно-кошторисної документації та проведення експертизи)</t>
  </si>
  <si>
    <t>Виконання інвестиційних проектів в рамках підтримки розвитку об'єднаних територіальних громад</t>
  </si>
  <si>
    <t>Співфінансування інвестиційних проектів, які передбачається фінансувати у 2020році в рамках формування інфраструктури об'єднаних територіальних громад</t>
  </si>
  <si>
    <t xml:space="preserve">Реконструкція очисних споруд  по вул. Мокряка  у м.Новоукраїнка, Кіровоградської обл., продуктивністю 200 м3/доб.(Коригування)  </t>
  </si>
  <si>
    <t xml:space="preserve">у тому числі за рахунок залишку коштів субвенції з державного бюджету місцевим бюджетам на здійснення заходів щодо соціально-економічного розвитку окремих територій, що утворився станом на 01.01. 2020 року </t>
  </si>
  <si>
    <t>Капітальний ремонт вул. Гагаріна від вул. В. Демченка до вул. Покровської у м. Новоукраїнка  Кіровоградської області</t>
  </si>
  <si>
    <t>Капітальний ремонт вул. Паризької (від вул. Піщанобрідської до пров. Херсонський) (проведення державної експертизи та перерахунок проектно-кошторисної документації, яка пройшла коригування в ціни 2020 року)</t>
  </si>
  <si>
    <t>Капітальний ремонт вул. Благодатна від будинку №105 до будинку 143 в м. Новоукраїнка   Кіровоградської області (виготовлення проектно-кошторисної документації та проведення експертизи)</t>
  </si>
  <si>
    <t>Заміна вікон на металопластикові та утеплення фасадів міського будинку культури №1 по вул. М.Вороного,204 в м. Новоукраїнка Кіровоградської обл. - капітальний ремонт. Коригування.</t>
  </si>
  <si>
    <t>0617321</t>
  </si>
  <si>
    <t>Будівництво освітніх установ та закладів</t>
  </si>
  <si>
    <t>Капітальний ремонт котельні з заміною котлів в Новоукраїнському комунальному дошкільному навчальному закладі № 1 "Ромашка" за адресою: Кіровоградська область, м.Новоукраїнка, вул.Покровська, 79/18</t>
  </si>
  <si>
    <t>Виготовлення проектно-кошторисної документації  на "Капітальний ремонт котельні з заміною котла та димової труби Мар'янопільської філії Новоукраїнського навчально-виховного комплексу №8 "Загальноосвітня школа І-ІІІ ступенів - дошкільний навчальний заклад""</t>
  </si>
  <si>
    <t>до рішення виконавчого комітету</t>
  </si>
  <si>
    <t>Новоукраїнської міської ради</t>
  </si>
  <si>
    <t>-</t>
  </si>
  <si>
    <t>від 25 серпня 2020 року № 127</t>
  </si>
  <si>
    <t>Л. Богданова</t>
  </si>
  <si>
    <t>Основні показники бюджету Новоукраїнської міської об'єднаної територіальної громади на 2020-2023 роки</t>
  </si>
  <si>
    <t>Керуючий справами (секретар) виконкому міської ради</t>
  </si>
  <si>
    <t xml:space="preserve">
Видатки та надання кредитів бюджету Новоукраїнської міської об'єднаної територіальної громади за функціональною ознакою на 2020-2023 роки</t>
  </si>
  <si>
    <t xml:space="preserve">
Видатки та надання кредитів головних розпорядників коштів бюджету Новоукраїнської міської об'єднаної територіальної громади на 2020-2023 роки</t>
  </si>
  <si>
    <t xml:space="preserve">
Бюджетні програми бюджету Новоукраїнської міської об'єднаної територіальної громади, які забезпечують виконання інвестиційних проектів у 2020-2023 роках </t>
  </si>
  <si>
    <t xml:space="preserve">Керуючий справами (секретар) виконкому міської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</si>
</sst>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;[Red]0.0"/>
    <numFmt numFmtId="165" formatCode="#,###"/>
    <numFmt numFmtId="166" formatCode="#,##0.0"/>
    <numFmt numFmtId="167" formatCode="0.0"/>
    <numFmt numFmtId="168" formatCode="#,##0.000"/>
    <numFmt numFmtId="169" formatCode="#,##0_ ;\-#,##0\ "/>
  </numFmts>
  <fonts count="79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 Cyr"/>
      <charset val="204"/>
    </font>
    <font>
      <sz val="11"/>
      <color indexed="10"/>
      <name val="Times New Roman"/>
      <family val="1"/>
      <charset val="204"/>
    </font>
    <font>
      <b/>
      <sz val="11"/>
      <color indexed="8"/>
      <name val="Times New Roman Cyr"/>
      <charset val="204"/>
    </font>
    <font>
      <sz val="10"/>
      <name val="Courier New"/>
      <family val="3"/>
      <charset val="204"/>
    </font>
    <font>
      <sz val="12"/>
      <name val="Bookman Old Style"/>
      <family val="1"/>
      <charset val="204"/>
    </font>
    <font>
      <sz val="10"/>
      <name val="Times"/>
      <charset val="204"/>
    </font>
    <font>
      <sz val="10"/>
      <color indexed="10"/>
      <name val="Times"/>
      <family val="1"/>
    </font>
    <font>
      <sz val="10"/>
      <name val="Helv"/>
      <charset val="204"/>
    </font>
    <font>
      <sz val="10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8"/>
      <name val="Times New Roman Cyr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 Cyr"/>
      <charset val="204"/>
    </font>
    <font>
      <sz val="12"/>
      <name val="Times New Roman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i/>
      <sz val="9"/>
      <name val="Times New Roman"/>
      <family val="1"/>
      <charset val="204"/>
    </font>
    <font>
      <b/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73">
    <xf numFmtId="0" fontId="0" fillId="0" borderId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5" borderId="0" applyNumberFormat="0" applyBorder="0" applyAlignment="0" applyProtection="0"/>
    <xf numFmtId="0" fontId="49" fillId="4" borderId="0" applyNumberFormat="0" applyBorder="0" applyAlignment="0" applyProtection="0"/>
    <xf numFmtId="0" fontId="49" fillId="8" borderId="0" applyNumberFormat="0" applyBorder="0" applyAlignment="0" applyProtection="0"/>
    <xf numFmtId="0" fontId="49" fillId="4" borderId="0" applyNumberFormat="0" applyBorder="0" applyAlignment="0" applyProtection="0"/>
    <xf numFmtId="0" fontId="49" fillId="7" borderId="0" applyNumberFormat="0" applyBorder="0" applyAlignment="0" applyProtection="0"/>
    <xf numFmtId="0" fontId="49" fillId="10" borderId="0" applyNumberFormat="0" applyBorder="0" applyAlignment="0" applyProtection="0"/>
    <xf numFmtId="0" fontId="49" fillId="2" borderId="0" applyNumberFormat="0" applyBorder="0" applyAlignment="0" applyProtection="0"/>
    <xf numFmtId="0" fontId="49" fillId="4" borderId="0" applyNumberFormat="0" applyBorder="0" applyAlignment="0" applyProtection="0"/>
    <xf numFmtId="0" fontId="49" fillId="8" borderId="0" applyNumberFormat="0" applyBorder="0" applyAlignment="0" applyProtection="0"/>
    <xf numFmtId="0" fontId="50" fillId="4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2" borderId="0" applyNumberFormat="0" applyBorder="0" applyAlignment="0" applyProtection="0"/>
    <xf numFmtId="0" fontId="50" fillId="4" borderId="0" applyNumberFormat="0" applyBorder="0" applyAlignment="0" applyProtection="0"/>
    <xf numFmtId="0" fontId="50" fillId="7" borderId="0" applyNumberFormat="0" applyBorder="0" applyAlignment="0" applyProtection="0"/>
    <xf numFmtId="0" fontId="17" fillId="0" borderId="0"/>
    <xf numFmtId="0" fontId="50" fillId="14" borderId="0" applyNumberFormat="0" applyBorder="0" applyAlignment="0" applyProtection="0"/>
    <xf numFmtId="0" fontId="50" fillId="12" borderId="0" applyNumberFormat="0" applyBorder="0" applyAlignment="0" applyProtection="0"/>
    <xf numFmtId="0" fontId="50" fillId="9" borderId="0" applyNumberFormat="0" applyBorder="0" applyAlignment="0" applyProtection="0"/>
    <xf numFmtId="0" fontId="50" fillId="15" borderId="0" applyNumberFormat="0" applyBorder="0" applyAlignment="0" applyProtection="0"/>
    <xf numFmtId="0" fontId="50" fillId="11" borderId="0" applyNumberFormat="0" applyBorder="0" applyAlignment="0" applyProtection="0"/>
    <xf numFmtId="0" fontId="50" fillId="13" borderId="0" applyNumberFormat="0" applyBorder="0" applyAlignment="0" applyProtection="0"/>
    <xf numFmtId="0" fontId="51" fillId="10" borderId="1" applyNumberFormat="0" applyAlignment="0" applyProtection="0"/>
    <xf numFmtId="0" fontId="52" fillId="4" borderId="0" applyNumberFormat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/>
    <xf numFmtId="0" fontId="17" fillId="0" borderId="0"/>
    <xf numFmtId="0" fontId="1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>
      <alignment vertical="top"/>
    </xf>
    <xf numFmtId="0" fontId="53" fillId="0" borderId="3" applyNumberFormat="0" applyFill="0" applyAlignment="0" applyProtection="0"/>
    <xf numFmtId="0" fontId="54" fillId="16" borderId="4" applyNumberFormat="0" applyAlignment="0" applyProtection="0"/>
    <xf numFmtId="0" fontId="55" fillId="0" borderId="0" applyNumberFormat="0" applyFill="0" applyBorder="0" applyAlignment="0" applyProtection="0"/>
    <xf numFmtId="0" fontId="56" fillId="17" borderId="1" applyNumberFormat="0" applyAlignment="0" applyProtection="0"/>
    <xf numFmtId="0" fontId="75" fillId="0" borderId="0"/>
    <xf numFmtId="0" fontId="74" fillId="0" borderId="0"/>
    <xf numFmtId="0" fontId="12" fillId="0" borderId="0"/>
    <xf numFmtId="0" fontId="12" fillId="0" borderId="0"/>
    <xf numFmtId="0" fontId="3" fillId="0" borderId="0"/>
    <xf numFmtId="0" fontId="17" fillId="0" borderId="0"/>
    <xf numFmtId="0" fontId="27" fillId="0" borderId="0"/>
    <xf numFmtId="0" fontId="28" fillId="0" borderId="0"/>
    <xf numFmtId="0" fontId="75" fillId="0" borderId="0"/>
    <xf numFmtId="0" fontId="75" fillId="0" borderId="0"/>
    <xf numFmtId="0" fontId="75" fillId="0" borderId="0"/>
    <xf numFmtId="0" fontId="57" fillId="0" borderId="5" applyNumberFormat="0" applyFill="0" applyAlignment="0" applyProtection="0"/>
    <xf numFmtId="0" fontId="58" fillId="3" borderId="0" applyNumberFormat="0" applyBorder="0" applyAlignment="0" applyProtection="0"/>
    <xf numFmtId="0" fontId="12" fillId="8" borderId="6" applyNumberFormat="0" applyFont="0" applyAlignment="0" applyProtection="0"/>
    <xf numFmtId="164" fontId="29" fillId="0" borderId="7">
      <alignment horizontal="center"/>
    </xf>
    <xf numFmtId="0" fontId="59" fillId="17" borderId="2" applyNumberFormat="0" applyAlignment="0" applyProtection="0"/>
    <xf numFmtId="0" fontId="60" fillId="10" borderId="0" applyNumberFormat="0" applyBorder="0" applyAlignment="0" applyProtection="0"/>
    <xf numFmtId="0" fontId="30" fillId="0" borderId="0"/>
    <xf numFmtId="0" fontId="5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65" fontId="31" fillId="0" borderId="8" applyFont="0" applyFill="0" applyBorder="0" applyAlignment="0" applyProtection="0">
      <alignment horizontal="center"/>
    </xf>
  </cellStyleXfs>
  <cellXfs count="510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left"/>
    </xf>
    <xf numFmtId="0" fontId="6" fillId="0" borderId="9" xfId="0" applyFont="1" applyBorder="1"/>
    <xf numFmtId="1" fontId="10" fillId="0" borderId="0" xfId="0" applyNumberFormat="1" applyFont="1"/>
    <xf numFmtId="1" fontId="9" fillId="0" borderId="0" xfId="0" applyNumberFormat="1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6" fillId="0" borderId="9" xfId="0" applyNumberFormat="1" applyFont="1" applyBorder="1"/>
    <xf numFmtId="0" fontId="11" fillId="0" borderId="0" xfId="0" applyFont="1"/>
    <xf numFmtId="0" fontId="13" fillId="0" borderId="0" xfId="54" applyNumberFormat="1" applyFont="1" applyFill="1" applyAlignment="1" applyProtection="1"/>
    <xf numFmtId="0" fontId="13" fillId="18" borderId="0" xfId="54" applyFont="1" applyFill="1"/>
    <xf numFmtId="0" fontId="13" fillId="0" borderId="0" xfId="54" applyFont="1" applyFill="1"/>
    <xf numFmtId="0" fontId="12" fillId="0" borderId="0" xfId="54" applyNumberFormat="1" applyFont="1" applyFill="1" applyAlignment="1" applyProtection="1"/>
    <xf numFmtId="0" fontId="14" fillId="0" borderId="0" xfId="54" applyNumberFormat="1" applyFont="1" applyFill="1" applyAlignment="1" applyProtection="1">
      <alignment horizontal="center" vertical="center" wrapText="1"/>
    </xf>
    <xf numFmtId="0" fontId="12" fillId="18" borderId="0" xfId="54" applyFont="1" applyFill="1"/>
    <xf numFmtId="0" fontId="12" fillId="0" borderId="0" xfId="54" applyFont="1" applyFill="1"/>
    <xf numFmtId="0" fontId="15" fillId="0" borderId="10" xfId="54" applyNumberFormat="1" applyFont="1" applyFill="1" applyBorder="1" applyAlignment="1" applyProtection="1">
      <alignment horizontal="center"/>
    </xf>
    <xf numFmtId="0" fontId="12" fillId="0" borderId="10" xfId="54" applyFont="1" applyFill="1" applyBorder="1" applyAlignment="1">
      <alignment horizontal="center"/>
    </xf>
    <xf numFmtId="0" fontId="12" fillId="18" borderId="11" xfId="54" applyNumberFormat="1" applyFont="1" applyFill="1" applyBorder="1" applyAlignment="1" applyProtection="1"/>
    <xf numFmtId="0" fontId="12" fillId="18" borderId="12" xfId="54" applyNumberFormat="1" applyFont="1" applyFill="1" applyBorder="1" applyAlignment="1" applyProtection="1"/>
    <xf numFmtId="0" fontId="12" fillId="18" borderId="0" xfId="54" applyNumberFormat="1" applyFont="1" applyFill="1" applyBorder="1" applyAlignment="1" applyProtection="1"/>
    <xf numFmtId="0" fontId="12" fillId="18" borderId="0" xfId="54" applyNumberFormat="1" applyFont="1" applyFill="1" applyAlignment="1" applyProtection="1">
      <alignment vertical="center"/>
    </xf>
    <xf numFmtId="49" fontId="19" fillId="0" borderId="13" xfId="54" applyNumberFormat="1" applyFont="1" applyFill="1" applyBorder="1" applyAlignment="1">
      <alignment horizontal="center" vertical="center" wrapText="1"/>
    </xf>
    <xf numFmtId="0" fontId="19" fillId="0" borderId="13" xfId="54" applyFont="1" applyFill="1" applyBorder="1" applyAlignment="1">
      <alignment horizontal="center" vertical="center" wrapText="1"/>
    </xf>
    <xf numFmtId="1" fontId="20" fillId="0" borderId="9" xfId="47" applyNumberFormat="1" applyFont="1" applyFill="1" applyBorder="1" applyAlignment="1">
      <alignment vertical="center"/>
    </xf>
    <xf numFmtId="1" fontId="20" fillId="18" borderId="9" xfId="47" applyNumberFormat="1" applyFont="1" applyFill="1" applyBorder="1" applyAlignment="1">
      <alignment vertical="center"/>
    </xf>
    <xf numFmtId="0" fontId="12" fillId="18" borderId="0" xfId="54" applyFont="1" applyFill="1" applyAlignment="1">
      <alignment vertical="center"/>
    </xf>
    <xf numFmtId="49" fontId="19" fillId="18" borderId="9" xfId="54" applyNumberFormat="1" applyFont="1" applyFill="1" applyBorder="1" applyAlignment="1">
      <alignment horizontal="center" vertical="center" wrapText="1"/>
    </xf>
    <xf numFmtId="49" fontId="21" fillId="18" borderId="9" xfId="54" applyNumberFormat="1" applyFont="1" applyFill="1" applyBorder="1" applyAlignment="1">
      <alignment horizontal="center" vertical="center" wrapText="1"/>
    </xf>
    <xf numFmtId="0" fontId="21" fillId="18" borderId="9" xfId="54" applyFont="1" applyFill="1" applyBorder="1" applyAlignment="1">
      <alignment horizontal="center" vertical="center" wrapText="1"/>
    </xf>
    <xf numFmtId="1" fontId="22" fillId="18" borderId="9" xfId="47" applyNumberFormat="1" applyFont="1" applyFill="1" applyBorder="1" applyAlignment="1">
      <alignment horizontal="right" vertical="center"/>
    </xf>
    <xf numFmtId="1" fontId="22" fillId="18" borderId="9" xfId="47" applyNumberFormat="1" applyFont="1" applyFill="1" applyBorder="1" applyAlignment="1">
      <alignment vertical="center"/>
    </xf>
    <xf numFmtId="0" fontId="12" fillId="18" borderId="0" xfId="54" applyNumberFormat="1" applyFont="1" applyFill="1" applyAlignment="1" applyProtection="1"/>
    <xf numFmtId="0" fontId="21" fillId="18" borderId="9" xfId="57" applyFont="1" applyFill="1" applyBorder="1" applyAlignment="1">
      <alignment horizontal="center" vertical="center" wrapText="1"/>
    </xf>
    <xf numFmtId="1" fontId="21" fillId="18" borderId="9" xfId="47" applyNumberFormat="1" applyFont="1" applyFill="1" applyBorder="1" applyAlignment="1">
      <alignment horizontal="right" vertical="center"/>
    </xf>
    <xf numFmtId="0" fontId="21" fillId="18" borderId="14" xfId="57" applyFont="1" applyFill="1" applyBorder="1" applyAlignment="1">
      <alignment horizontal="center" vertical="center" wrapText="1"/>
    </xf>
    <xf numFmtId="0" fontId="21" fillId="18" borderId="9" xfId="57" applyFont="1" applyFill="1" applyBorder="1" applyAlignment="1">
      <alignment horizontal="left" vertical="center" wrapText="1"/>
    </xf>
    <xf numFmtId="1" fontId="20" fillId="18" borderId="9" xfId="47" applyNumberFormat="1" applyFont="1" applyFill="1" applyBorder="1" applyAlignment="1">
      <alignment horizontal="right" vertical="center"/>
    </xf>
    <xf numFmtId="0" fontId="19" fillId="18" borderId="9" xfId="57" applyFont="1" applyFill="1" applyBorder="1" applyAlignment="1">
      <alignment horizontal="left" vertical="center" wrapText="1"/>
    </xf>
    <xf numFmtId="1" fontId="19" fillId="18" borderId="9" xfId="47" applyNumberFormat="1" applyFont="1" applyFill="1" applyBorder="1" applyAlignment="1">
      <alignment horizontal="right" vertical="center"/>
    </xf>
    <xf numFmtId="49" fontId="21" fillId="18" borderId="9" xfId="57" applyNumberFormat="1" applyFont="1" applyFill="1" applyBorder="1" applyAlignment="1">
      <alignment horizontal="center" vertical="center" wrapText="1"/>
    </xf>
    <xf numFmtId="49" fontId="19" fillId="18" borderId="9" xfId="57" applyNumberFormat="1" applyFont="1" applyFill="1" applyBorder="1" applyAlignment="1">
      <alignment horizontal="center" vertical="center" wrapText="1"/>
    </xf>
    <xf numFmtId="49" fontId="21" fillId="18" borderId="14" xfId="57" applyNumberFormat="1" applyFont="1" applyFill="1" applyBorder="1" applyAlignment="1">
      <alignment horizontal="center" vertical="center" wrapText="1"/>
    </xf>
    <xf numFmtId="1" fontId="22" fillId="18" borderId="9" xfId="47" applyNumberFormat="1" applyFont="1" applyFill="1" applyBorder="1" applyAlignment="1">
      <alignment horizontal="left" vertical="top"/>
    </xf>
    <xf numFmtId="1" fontId="22" fillId="18" borderId="9" xfId="47" applyNumberFormat="1" applyFont="1" applyFill="1" applyBorder="1" applyAlignment="1">
      <alignment horizontal="left" vertical="top" wrapText="1"/>
    </xf>
    <xf numFmtId="1" fontId="21" fillId="18" borderId="9" xfId="47" applyNumberFormat="1" applyFont="1" applyFill="1" applyBorder="1" applyAlignment="1">
      <alignment vertical="center"/>
    </xf>
    <xf numFmtId="1" fontId="23" fillId="18" borderId="9" xfId="56" applyNumberFormat="1" applyFont="1" applyFill="1" applyBorder="1" applyAlignment="1">
      <alignment horizontal="right" vertical="center"/>
    </xf>
    <xf numFmtId="49" fontId="24" fillId="18" borderId="9" xfId="54" applyNumberFormat="1" applyFont="1" applyFill="1" applyBorder="1" applyAlignment="1">
      <alignment horizontal="center" vertical="center" wrapText="1"/>
    </xf>
    <xf numFmtId="0" fontId="19" fillId="18" borderId="9" xfId="54" applyFont="1" applyFill="1" applyBorder="1" applyAlignment="1">
      <alignment horizontal="center" vertical="center" wrapText="1"/>
    </xf>
    <xf numFmtId="0" fontId="25" fillId="18" borderId="9" xfId="56" applyFont="1" applyFill="1" applyBorder="1" applyAlignment="1">
      <alignment horizontal="right" vertical="center"/>
    </xf>
    <xf numFmtId="0" fontId="23" fillId="18" borderId="9" xfId="56" applyFont="1" applyFill="1" applyBorder="1" applyAlignment="1">
      <alignment horizontal="right" vertical="center"/>
    </xf>
    <xf numFmtId="0" fontId="21" fillId="18" borderId="14" xfId="57" applyFont="1" applyFill="1" applyBorder="1" applyAlignment="1">
      <alignment horizontal="left" vertical="center" wrapText="1"/>
    </xf>
    <xf numFmtId="1" fontId="19" fillId="18" borderId="9" xfId="47" applyNumberFormat="1" applyFont="1" applyFill="1" applyBorder="1" applyAlignment="1">
      <alignment vertical="center"/>
    </xf>
    <xf numFmtId="1" fontId="20" fillId="18" borderId="9" xfId="54" applyNumberFormat="1" applyFont="1" applyFill="1" applyBorder="1" applyAlignment="1">
      <alignment horizontal="right" vertical="center"/>
    </xf>
    <xf numFmtId="1" fontId="20" fillId="18" borderId="9" xfId="54" applyNumberFormat="1" applyFont="1" applyFill="1" applyBorder="1" applyAlignment="1">
      <alignment vertical="center"/>
    </xf>
    <xf numFmtId="0" fontId="21" fillId="18" borderId="0" xfId="54" applyFont="1" applyFill="1" applyBorder="1" applyAlignment="1">
      <alignment horizontal="center" vertical="center" wrapText="1"/>
    </xf>
    <xf numFmtId="1" fontId="12" fillId="18" borderId="0" xfId="54" applyNumberFormat="1" applyFont="1" applyFill="1"/>
    <xf numFmtId="1" fontId="12" fillId="0" borderId="0" xfId="54" applyNumberFormat="1" applyFont="1" applyFill="1" applyAlignment="1" applyProtection="1"/>
    <xf numFmtId="0" fontId="32" fillId="18" borderId="0" xfId="54" applyNumberFormat="1" applyFont="1" applyFill="1" applyAlignment="1" applyProtection="1"/>
    <xf numFmtId="0" fontId="32" fillId="18" borderId="0" xfId="54" applyFont="1" applyFill="1"/>
    <xf numFmtId="0" fontId="12" fillId="0" borderId="0" xfId="54" applyNumberFormat="1" applyFont="1" applyFill="1" applyBorder="1" applyAlignment="1" applyProtection="1"/>
    <xf numFmtId="0" fontId="33" fillId="0" borderId="0" xfId="54" applyNumberFormat="1" applyFont="1" applyFill="1" applyBorder="1" applyAlignment="1" applyProtection="1"/>
    <xf numFmtId="0" fontId="12" fillId="0" borderId="0" xfId="54" applyFont="1" applyFill="1" applyBorder="1"/>
    <xf numFmtId="0" fontId="34" fillId="0" borderId="0" xfId="56" applyFont="1" applyAlignment="1"/>
    <xf numFmtId="0" fontId="13" fillId="0" borderId="0" xfId="56" applyFont="1" applyAlignment="1"/>
    <xf numFmtId="0" fontId="35" fillId="0" borderId="0" xfId="54" applyNumberFormat="1" applyFont="1" applyFill="1" applyBorder="1" applyAlignment="1" applyProtection="1">
      <alignment horizontal="center" vertical="top" wrapText="1"/>
    </xf>
    <xf numFmtId="0" fontId="35" fillId="0" borderId="0" xfId="54" applyNumberFormat="1" applyFont="1" applyFill="1" applyBorder="1" applyAlignment="1" applyProtection="1">
      <alignment horizontal="left" vertical="top" wrapText="1"/>
    </xf>
    <xf numFmtId="0" fontId="36" fillId="0" borderId="0" xfId="57" applyFont="1" applyAlignment="1">
      <alignment horizontal="left"/>
    </xf>
    <xf numFmtId="0" fontId="15" fillId="0" borderId="0" xfId="54" applyNumberFormat="1" applyFont="1" applyFill="1" applyBorder="1" applyAlignment="1" applyProtection="1">
      <alignment horizontal="center"/>
    </xf>
    <xf numFmtId="0" fontId="12" fillId="0" borderId="0" xfId="54" applyFont="1" applyFill="1" applyBorder="1" applyAlignment="1">
      <alignment horizontal="center"/>
    </xf>
    <xf numFmtId="0" fontId="15" fillId="0" borderId="0" xfId="54" applyNumberFormat="1" applyFont="1" applyFill="1" applyBorder="1" applyAlignment="1" applyProtection="1">
      <alignment horizontal="center" vertical="top"/>
    </xf>
    <xf numFmtId="0" fontId="37" fillId="0" borderId="0" xfId="54" applyNumberFormat="1" applyFont="1" applyFill="1" applyAlignment="1" applyProtection="1">
      <alignment horizontal="center"/>
    </xf>
    <xf numFmtId="0" fontId="33" fillId="0" borderId="0" xfId="54" applyFont="1" applyFill="1" applyAlignment="1">
      <alignment horizontal="center"/>
    </xf>
    <xf numFmtId="0" fontId="13" fillId="18" borderId="0" xfId="57" applyFont="1" applyFill="1" applyAlignment="1">
      <alignment horizontal="right"/>
    </xf>
    <xf numFmtId="0" fontId="40" fillId="18" borderId="14" xfId="54" applyNumberFormat="1" applyFont="1" applyFill="1" applyBorder="1" applyAlignment="1" applyProtection="1">
      <alignment horizontal="center" vertical="center" wrapText="1"/>
    </xf>
    <xf numFmtId="0" fontId="38" fillId="18" borderId="14" xfId="54" applyNumberFormat="1" applyFont="1" applyFill="1" applyBorder="1" applyAlignment="1" applyProtection="1">
      <alignment horizontal="center" vertical="center" wrapText="1"/>
    </xf>
    <xf numFmtId="0" fontId="40" fillId="18" borderId="15" xfId="54" applyNumberFormat="1" applyFont="1" applyFill="1" applyBorder="1" applyAlignment="1" applyProtection="1">
      <alignment horizontal="center" vertical="center" wrapText="1"/>
    </xf>
    <xf numFmtId="49" fontId="19" fillId="0" borderId="16" xfId="54" applyNumberFormat="1" applyFont="1" applyFill="1" applyBorder="1" applyAlignment="1">
      <alignment horizontal="center" vertical="center" wrapText="1"/>
    </xf>
    <xf numFmtId="49" fontId="19" fillId="0" borderId="17" xfId="54" applyNumberFormat="1" applyFont="1" applyFill="1" applyBorder="1" applyAlignment="1">
      <alignment horizontal="center" vertical="center" wrapText="1"/>
    </xf>
    <xf numFmtId="0" fontId="19" fillId="0" borderId="17" xfId="54" applyFont="1" applyFill="1" applyBorder="1" applyAlignment="1">
      <alignment horizontal="center" vertical="center" wrapText="1"/>
    </xf>
    <xf numFmtId="1" fontId="20" fillId="0" borderId="17" xfId="47" applyNumberFormat="1" applyFont="1" applyFill="1" applyBorder="1" applyAlignment="1">
      <alignment vertical="center"/>
    </xf>
    <xf numFmtId="1" fontId="19" fillId="0" borderId="17" xfId="47" applyNumberFormat="1" applyFont="1" applyFill="1" applyBorder="1" applyAlignment="1">
      <alignment vertical="center"/>
    </xf>
    <xf numFmtId="1" fontId="20" fillId="0" borderId="18" xfId="47" applyNumberFormat="1" applyFont="1" applyFill="1" applyBorder="1" applyAlignment="1">
      <alignment vertical="center"/>
    </xf>
    <xf numFmtId="49" fontId="35" fillId="18" borderId="19" xfId="54" applyNumberFormat="1" applyFont="1" applyFill="1" applyBorder="1" applyAlignment="1">
      <alignment horizontal="center" vertical="center" wrapText="1"/>
    </xf>
    <xf numFmtId="49" fontId="35" fillId="18" borderId="13" xfId="54" applyNumberFormat="1" applyFont="1" applyFill="1" applyBorder="1" applyAlignment="1">
      <alignment horizontal="center" vertical="center" wrapText="1"/>
    </xf>
    <xf numFmtId="0" fontId="35" fillId="18" borderId="13" xfId="54" applyFont="1" applyFill="1" applyBorder="1" applyAlignment="1">
      <alignment horizontal="center" vertical="center" wrapText="1"/>
    </xf>
    <xf numFmtId="1" fontId="42" fillId="18" borderId="13" xfId="47" applyNumberFormat="1" applyFont="1" applyFill="1" applyBorder="1" applyAlignment="1">
      <alignment horizontal="center" vertical="center"/>
    </xf>
    <xf numFmtId="1" fontId="35" fillId="18" borderId="13" xfId="47" applyNumberFormat="1" applyFont="1" applyFill="1" applyBorder="1" applyAlignment="1">
      <alignment horizontal="center" vertical="center"/>
    </xf>
    <xf numFmtId="1" fontId="42" fillId="18" borderId="20" xfId="47" applyNumberFormat="1" applyFont="1" applyFill="1" applyBorder="1" applyAlignment="1">
      <alignment horizontal="center" vertical="center"/>
    </xf>
    <xf numFmtId="49" fontId="35" fillId="18" borderId="8" xfId="54" applyNumberFormat="1" applyFont="1" applyFill="1" applyBorder="1" applyAlignment="1">
      <alignment horizontal="center" vertical="center" wrapText="1"/>
    </xf>
    <xf numFmtId="49" fontId="35" fillId="18" borderId="9" xfId="54" applyNumberFormat="1" applyFont="1" applyFill="1" applyBorder="1" applyAlignment="1">
      <alignment horizontal="center" vertical="center" wrapText="1"/>
    </xf>
    <xf numFmtId="0" fontId="35" fillId="18" borderId="9" xfId="54" applyFont="1" applyFill="1" applyBorder="1" applyAlignment="1">
      <alignment horizontal="center" vertical="center" wrapText="1"/>
    </xf>
    <xf numFmtId="1" fontId="42" fillId="18" borderId="9" xfId="47" applyNumberFormat="1" applyFont="1" applyFill="1" applyBorder="1" applyAlignment="1">
      <alignment horizontal="center" vertical="center"/>
    </xf>
    <xf numFmtId="0" fontId="13" fillId="18" borderId="9" xfId="57" applyFont="1" applyFill="1" applyBorder="1" applyAlignment="1">
      <alignment horizontal="left" vertical="center" wrapText="1"/>
    </xf>
    <xf numFmtId="1" fontId="34" fillId="18" borderId="9" xfId="47" applyNumberFormat="1" applyFont="1" applyFill="1" applyBorder="1" applyAlignment="1">
      <alignment horizontal="center" vertical="center"/>
    </xf>
    <xf numFmtId="1" fontId="43" fillId="18" borderId="9" xfId="47" applyNumberFormat="1" applyFont="1" applyFill="1" applyBorder="1" applyAlignment="1">
      <alignment horizontal="center" vertical="center"/>
    </xf>
    <xf numFmtId="1" fontId="34" fillId="18" borderId="21" xfId="47" applyNumberFormat="1" applyFont="1" applyFill="1" applyBorder="1" applyAlignment="1">
      <alignment horizontal="center" vertical="center"/>
    </xf>
    <xf numFmtId="0" fontId="13" fillId="18" borderId="9" xfId="54" applyFont="1" applyFill="1" applyBorder="1" applyAlignment="1">
      <alignment horizontal="left" vertical="center" wrapText="1"/>
    </xf>
    <xf numFmtId="1" fontId="42" fillId="18" borderId="21" xfId="47" applyNumberFormat="1" applyFont="1" applyFill="1" applyBorder="1" applyAlignment="1">
      <alignment horizontal="center" vertical="center"/>
    </xf>
    <xf numFmtId="1" fontId="13" fillId="18" borderId="9" xfId="47" applyNumberFormat="1" applyFont="1" applyFill="1" applyBorder="1" applyAlignment="1">
      <alignment horizontal="center" vertical="center"/>
    </xf>
    <xf numFmtId="49" fontId="13" fillId="18" borderId="9" xfId="54" applyNumberFormat="1" applyFont="1" applyFill="1" applyBorder="1" applyAlignment="1">
      <alignment horizontal="center" vertical="center" wrapText="1"/>
    </xf>
    <xf numFmtId="1" fontId="44" fillId="18" borderId="9" xfId="47" applyNumberFormat="1" applyFont="1" applyFill="1" applyBorder="1" applyAlignment="1">
      <alignment horizontal="center" vertical="center"/>
    </xf>
    <xf numFmtId="0" fontId="13" fillId="18" borderId="14" xfId="57" applyFont="1" applyFill="1" applyBorder="1" applyAlignment="1">
      <alignment horizontal="left" vertical="center" wrapText="1"/>
    </xf>
    <xf numFmtId="49" fontId="13" fillId="18" borderId="8" xfId="54" applyNumberFormat="1" applyFont="1" applyFill="1" applyBorder="1" applyAlignment="1">
      <alignment horizontal="center" vertical="center" wrapText="1"/>
    </xf>
    <xf numFmtId="1" fontId="35" fillId="18" borderId="9" xfId="47" applyNumberFormat="1" applyFont="1" applyFill="1" applyBorder="1" applyAlignment="1">
      <alignment horizontal="center" vertical="center"/>
    </xf>
    <xf numFmtId="0" fontId="35" fillId="18" borderId="9" xfId="57" applyFont="1" applyFill="1" applyBorder="1" applyAlignment="1">
      <alignment horizontal="left" vertical="center" wrapText="1"/>
    </xf>
    <xf numFmtId="49" fontId="35" fillId="18" borderId="8" xfId="57" applyNumberFormat="1" applyFont="1" applyFill="1" applyBorder="1" applyAlignment="1">
      <alignment horizontal="center" vertical="center" wrapText="1"/>
    </xf>
    <xf numFmtId="49" fontId="35" fillId="18" borderId="9" xfId="57" applyNumberFormat="1" applyFont="1" applyFill="1" applyBorder="1" applyAlignment="1">
      <alignment horizontal="center" vertical="center" wrapText="1"/>
    </xf>
    <xf numFmtId="49" fontId="13" fillId="18" borderId="8" xfId="57" applyNumberFormat="1" applyFont="1" applyFill="1" applyBorder="1" applyAlignment="1">
      <alignment horizontal="center" vertical="center" wrapText="1"/>
    </xf>
    <xf numFmtId="49" fontId="13" fillId="18" borderId="22" xfId="57" applyNumberFormat="1" applyFont="1" applyFill="1" applyBorder="1" applyAlignment="1">
      <alignment horizontal="center" vertical="center" wrapText="1"/>
    </xf>
    <xf numFmtId="49" fontId="13" fillId="18" borderId="9" xfId="57" applyNumberFormat="1" applyFont="1" applyFill="1" applyBorder="1" applyAlignment="1">
      <alignment horizontal="center" vertical="center" wrapText="1"/>
    </xf>
    <xf numFmtId="0" fontId="13" fillId="18" borderId="14" xfId="57" applyFont="1" applyFill="1" applyBorder="1" applyAlignment="1">
      <alignment horizontal="center" vertical="center" wrapText="1"/>
    </xf>
    <xf numFmtId="1" fontId="45" fillId="18" borderId="9" xfId="56" applyNumberFormat="1" applyFont="1" applyFill="1" applyBorder="1" applyAlignment="1">
      <alignment horizontal="center" vertical="center"/>
    </xf>
    <xf numFmtId="49" fontId="46" fillId="18" borderId="8" xfId="54" applyNumberFormat="1" applyFont="1" applyFill="1" applyBorder="1" applyAlignment="1">
      <alignment horizontal="center" vertical="center" wrapText="1"/>
    </xf>
    <xf numFmtId="0" fontId="13" fillId="18" borderId="9" xfId="57" applyFont="1" applyFill="1" applyBorder="1" applyAlignment="1">
      <alignment horizontal="center" vertical="center" wrapText="1"/>
    </xf>
    <xf numFmtId="0" fontId="47" fillId="18" borderId="9" xfId="56" applyFont="1" applyFill="1" applyBorder="1" applyAlignment="1">
      <alignment horizontal="center" vertical="center"/>
    </xf>
    <xf numFmtId="0" fontId="45" fillId="18" borderId="9" xfId="56" applyFont="1" applyFill="1" applyBorder="1" applyAlignment="1">
      <alignment horizontal="center" vertical="center"/>
    </xf>
    <xf numFmtId="0" fontId="48" fillId="18" borderId="9" xfId="56" applyFont="1" applyFill="1" applyBorder="1" applyAlignment="1">
      <alignment horizontal="center" vertical="center"/>
    </xf>
    <xf numFmtId="1" fontId="44" fillId="19" borderId="9" xfId="47" applyNumberFormat="1" applyFont="1" applyFill="1" applyBorder="1" applyAlignment="1">
      <alignment horizontal="center" vertical="center"/>
    </xf>
    <xf numFmtId="0" fontId="13" fillId="18" borderId="16" xfId="54" applyFont="1" applyFill="1" applyBorder="1" applyAlignment="1">
      <alignment horizontal="center" vertical="center" wrapText="1"/>
    </xf>
    <xf numFmtId="0" fontId="13" fillId="18" borderId="17" xfId="54" applyFont="1" applyFill="1" applyBorder="1" applyAlignment="1">
      <alignment horizontal="center" vertical="center" wrapText="1"/>
    </xf>
    <xf numFmtId="49" fontId="13" fillId="18" borderId="17" xfId="54" applyNumberFormat="1" applyFont="1" applyFill="1" applyBorder="1" applyAlignment="1">
      <alignment horizontal="center" vertical="center" wrapText="1"/>
    </xf>
    <xf numFmtId="0" fontId="35" fillId="18" borderId="17" xfId="54" applyFont="1" applyFill="1" applyBorder="1" applyAlignment="1">
      <alignment horizontal="center" vertical="center" wrapText="1"/>
    </xf>
    <xf numFmtId="1" fontId="42" fillId="18" borderId="17" xfId="54" applyNumberFormat="1" applyFont="1" applyFill="1" applyBorder="1" applyAlignment="1">
      <alignment horizontal="center" vertical="center"/>
    </xf>
    <xf numFmtId="1" fontId="35" fillId="18" borderId="17" xfId="47" applyNumberFormat="1" applyFont="1" applyFill="1" applyBorder="1" applyAlignment="1">
      <alignment horizontal="center" vertical="center"/>
    </xf>
    <xf numFmtId="1" fontId="35" fillId="18" borderId="17" xfId="54" applyNumberFormat="1" applyFont="1" applyFill="1" applyBorder="1" applyAlignment="1">
      <alignment horizontal="center" vertical="center"/>
    </xf>
    <xf numFmtId="1" fontId="42" fillId="18" borderId="18" xfId="47" applyNumberFormat="1" applyFont="1" applyFill="1" applyBorder="1" applyAlignment="1">
      <alignment horizontal="center" vertical="center"/>
    </xf>
    <xf numFmtId="1" fontId="42" fillId="18" borderId="18" xfId="54" applyNumberFormat="1" applyFont="1" applyFill="1" applyBorder="1" applyAlignment="1">
      <alignment horizontal="center" vertical="center"/>
    </xf>
    <xf numFmtId="0" fontId="12" fillId="0" borderId="23" xfId="54" applyNumberFormat="1" applyFont="1" applyFill="1" applyBorder="1" applyAlignment="1" applyProtection="1"/>
    <xf numFmtId="0" fontId="12" fillId="18" borderId="23" xfId="54" applyNumberFormat="1" applyFont="1" applyFill="1" applyBorder="1" applyAlignment="1" applyProtection="1"/>
    <xf numFmtId="0" fontId="33" fillId="18" borderId="23" xfId="54" applyNumberFormat="1" applyFont="1" applyFill="1" applyBorder="1" applyAlignment="1" applyProtection="1"/>
    <xf numFmtId="0" fontId="33" fillId="18" borderId="0" xfId="54" applyNumberFormat="1" applyFont="1" applyFill="1" applyAlignment="1" applyProtection="1"/>
    <xf numFmtId="166" fontId="33" fillId="18" borderId="0" xfId="54" applyNumberFormat="1" applyFont="1" applyFill="1" applyAlignment="1" applyProtection="1"/>
    <xf numFmtId="0" fontId="13" fillId="0" borderId="0" xfId="54" applyNumberFormat="1" applyFont="1" applyFill="1" applyAlignment="1" applyProtection="1">
      <alignment horizontal="left" vertical="top"/>
    </xf>
    <xf numFmtId="166" fontId="12" fillId="18" borderId="0" xfId="54" applyNumberFormat="1" applyFont="1" applyFill="1" applyAlignment="1" applyProtection="1"/>
    <xf numFmtId="1" fontId="33" fillId="0" borderId="0" xfId="54" applyNumberFormat="1" applyFont="1" applyFill="1" applyAlignment="1" applyProtection="1"/>
    <xf numFmtId="0" fontId="33" fillId="0" borderId="0" xfId="54" applyNumberFormat="1" applyFont="1" applyFill="1" applyAlignment="1" applyProtection="1"/>
    <xf numFmtId="0" fontId="33" fillId="18" borderId="0" xfId="54" applyNumberFormat="1" applyFont="1" applyFill="1" applyBorder="1" applyAlignment="1" applyProtection="1"/>
    <xf numFmtId="0" fontId="38" fillId="18" borderId="9" xfId="54" applyNumberFormat="1" applyFont="1" applyFill="1" applyBorder="1" applyAlignment="1" applyProtection="1">
      <alignment horizontal="center" vertical="center" wrapText="1"/>
    </xf>
    <xf numFmtId="0" fontId="12" fillId="19" borderId="0" xfId="54" applyNumberFormat="1" applyFont="1" applyFill="1" applyBorder="1" applyAlignment="1" applyProtection="1"/>
    <xf numFmtId="0" fontId="35" fillId="19" borderId="0" xfId="54" applyNumberFormat="1" applyFont="1" applyFill="1" applyBorder="1" applyAlignment="1" applyProtection="1">
      <alignment horizontal="center" vertical="top" wrapText="1"/>
    </xf>
    <xf numFmtId="0" fontId="12" fillId="19" borderId="0" xfId="54" applyFont="1" applyFill="1" applyBorder="1" applyAlignment="1">
      <alignment horizontal="center"/>
    </xf>
    <xf numFmtId="0" fontId="38" fillId="19" borderId="24" xfId="54" applyNumberFormat="1" applyFont="1" applyFill="1" applyBorder="1" applyAlignment="1" applyProtection="1">
      <alignment horizontal="center" vertical="center" wrapText="1"/>
    </xf>
    <xf numFmtId="1" fontId="20" fillId="19" borderId="17" xfId="47" applyNumberFormat="1" applyFont="1" applyFill="1" applyBorder="1" applyAlignment="1">
      <alignment vertical="center"/>
    </xf>
    <xf numFmtId="1" fontId="42" fillId="19" borderId="13" xfId="47" applyNumberFormat="1" applyFont="1" applyFill="1" applyBorder="1" applyAlignment="1">
      <alignment horizontal="center" vertical="center"/>
    </xf>
    <xf numFmtId="1" fontId="42" fillId="19" borderId="9" xfId="47" applyNumberFormat="1" applyFont="1" applyFill="1" applyBorder="1" applyAlignment="1">
      <alignment horizontal="center" vertical="center"/>
    </xf>
    <xf numFmtId="1" fontId="34" fillId="19" borderId="9" xfId="47" applyNumberFormat="1" applyFont="1" applyFill="1" applyBorder="1" applyAlignment="1">
      <alignment horizontal="center" vertical="center"/>
    </xf>
    <xf numFmtId="1" fontId="42" fillId="19" borderId="17" xfId="54" applyNumberFormat="1" applyFont="1" applyFill="1" applyBorder="1" applyAlignment="1">
      <alignment horizontal="center" vertical="center"/>
    </xf>
    <xf numFmtId="0" fontId="12" fillId="19" borderId="23" xfId="54" applyNumberFormat="1" applyFont="1" applyFill="1" applyBorder="1" applyAlignment="1" applyProtection="1"/>
    <xf numFmtId="0" fontId="12" fillId="19" borderId="0" xfId="54" applyNumberFormat="1" applyFont="1" applyFill="1" applyAlignment="1" applyProtection="1"/>
    <xf numFmtId="0" fontId="13" fillId="0" borderId="0" xfId="56" applyFont="1" applyAlignment="1">
      <alignment horizontal="left"/>
    </xf>
    <xf numFmtId="0" fontId="13" fillId="19" borderId="0" xfId="56" applyFont="1" applyFill="1" applyAlignment="1">
      <alignment horizontal="left"/>
    </xf>
    <xf numFmtId="0" fontId="13" fillId="19" borderId="0" xfId="56" applyFont="1" applyFill="1" applyAlignment="1"/>
    <xf numFmtId="0" fontId="33" fillId="19" borderId="0" xfId="54" applyFont="1" applyFill="1" applyAlignment="1">
      <alignment horizontal="center"/>
    </xf>
    <xf numFmtId="1" fontId="19" fillId="19" borderId="17" xfId="47" applyNumberFormat="1" applyFont="1" applyFill="1" applyBorder="1" applyAlignment="1">
      <alignment vertical="center"/>
    </xf>
    <xf numFmtId="1" fontId="35" fillId="19" borderId="13" xfId="47" applyNumberFormat="1" applyFont="1" applyFill="1" applyBorder="1" applyAlignment="1">
      <alignment horizontal="center" vertical="center"/>
    </xf>
    <xf numFmtId="1" fontId="43" fillId="19" borderId="9" xfId="47" applyNumberFormat="1" applyFont="1" applyFill="1" applyBorder="1" applyAlignment="1">
      <alignment horizontal="center" vertical="center"/>
    </xf>
    <xf numFmtId="1" fontId="35" fillId="19" borderId="17" xfId="54" applyNumberFormat="1" applyFont="1" applyFill="1" applyBorder="1" applyAlignment="1">
      <alignment horizontal="center" vertical="center"/>
    </xf>
    <xf numFmtId="0" fontId="33" fillId="19" borderId="0" xfId="54" applyNumberFormat="1" applyFont="1" applyFill="1" applyAlignment="1" applyProtection="1"/>
    <xf numFmtId="0" fontId="33" fillId="20" borderId="0" xfId="54" applyNumberFormat="1" applyFont="1" applyFill="1" applyBorder="1" applyAlignment="1" applyProtection="1"/>
    <xf numFmtId="0" fontId="35" fillId="20" borderId="0" xfId="54" applyNumberFormat="1" applyFont="1" applyFill="1" applyBorder="1" applyAlignment="1" applyProtection="1">
      <alignment horizontal="center" vertical="top" wrapText="1"/>
    </xf>
    <xf numFmtId="0" fontId="33" fillId="20" borderId="0" xfId="54" applyFont="1" applyFill="1" applyAlignment="1">
      <alignment horizontal="center"/>
    </xf>
    <xf numFmtId="0" fontId="40" fillId="20" borderId="14" xfId="54" applyNumberFormat="1" applyFont="1" applyFill="1" applyBorder="1" applyAlignment="1" applyProtection="1">
      <alignment horizontal="center" vertical="center" wrapText="1"/>
    </xf>
    <xf numFmtId="0" fontId="40" fillId="20" borderId="15" xfId="54" applyNumberFormat="1" applyFont="1" applyFill="1" applyBorder="1" applyAlignment="1" applyProtection="1">
      <alignment horizontal="center" vertical="center" wrapText="1"/>
    </xf>
    <xf numFmtId="1" fontId="19" fillId="20" borderId="17" xfId="47" applyNumberFormat="1" applyFont="1" applyFill="1" applyBorder="1" applyAlignment="1">
      <alignment vertical="center"/>
    </xf>
    <xf numFmtId="1" fontId="42" fillId="20" borderId="9" xfId="47" applyNumberFormat="1" applyFont="1" applyFill="1" applyBorder="1" applyAlignment="1">
      <alignment horizontal="center" vertical="center"/>
    </xf>
    <xf numFmtId="1" fontId="43" fillId="20" borderId="9" xfId="47" applyNumberFormat="1" applyFont="1" applyFill="1" applyBorder="1" applyAlignment="1">
      <alignment horizontal="center" vertical="center"/>
    </xf>
    <xf numFmtId="1" fontId="34" fillId="20" borderId="9" xfId="47" applyNumberFormat="1" applyFont="1" applyFill="1" applyBorder="1" applyAlignment="1">
      <alignment horizontal="center" vertical="center"/>
    </xf>
    <xf numFmtId="0" fontId="33" fillId="20" borderId="23" xfId="54" applyNumberFormat="1" applyFont="1" applyFill="1" applyBorder="1" applyAlignment="1" applyProtection="1"/>
    <xf numFmtId="0" fontId="33" fillId="20" borderId="0" xfId="54" applyNumberFormat="1" applyFont="1" applyFill="1" applyAlignment="1" applyProtection="1"/>
    <xf numFmtId="49" fontId="43" fillId="18" borderId="8" xfId="54" applyNumberFormat="1" applyFont="1" applyFill="1" applyBorder="1" applyAlignment="1">
      <alignment horizontal="center" vertical="center" wrapText="1"/>
    </xf>
    <xf numFmtId="49" fontId="44" fillId="18" borderId="9" xfId="54" applyNumberFormat="1" applyFont="1" applyFill="1" applyBorder="1" applyAlignment="1">
      <alignment horizontal="center" vertical="center" wrapText="1"/>
    </xf>
    <xf numFmtId="0" fontId="43" fillId="18" borderId="9" xfId="54" applyFont="1" applyFill="1" applyBorder="1" applyAlignment="1">
      <alignment horizontal="center" vertical="center" wrapText="1"/>
    </xf>
    <xf numFmtId="1" fontId="44" fillId="20" borderId="9" xfId="47" applyNumberFormat="1" applyFont="1" applyFill="1" applyBorder="1" applyAlignment="1">
      <alignment horizontal="center" vertical="center"/>
    </xf>
    <xf numFmtId="1" fontId="43" fillId="18" borderId="21" xfId="47" applyNumberFormat="1" applyFont="1" applyFill="1" applyBorder="1" applyAlignment="1">
      <alignment horizontal="center" vertical="center"/>
    </xf>
    <xf numFmtId="0" fontId="33" fillId="18" borderId="0" xfId="54" applyFont="1" applyFill="1"/>
    <xf numFmtId="49" fontId="13" fillId="19" borderId="8" xfId="57" applyNumberFormat="1" applyFont="1" applyFill="1" applyBorder="1" applyAlignment="1">
      <alignment horizontal="center" vertical="center" wrapText="1"/>
    </xf>
    <xf numFmtId="49" fontId="13" fillId="19" borderId="9" xfId="57" applyNumberFormat="1" applyFont="1" applyFill="1" applyBorder="1" applyAlignment="1">
      <alignment horizontal="center" vertical="center" wrapText="1"/>
    </xf>
    <xf numFmtId="0" fontId="13" fillId="19" borderId="9" xfId="57" applyFont="1" applyFill="1" applyBorder="1" applyAlignment="1">
      <alignment horizontal="left" vertical="center" wrapText="1"/>
    </xf>
    <xf numFmtId="1" fontId="13" fillId="19" borderId="9" xfId="47" applyNumberFormat="1" applyFont="1" applyFill="1" applyBorder="1" applyAlignment="1">
      <alignment horizontal="center" vertical="center"/>
    </xf>
    <xf numFmtId="1" fontId="42" fillId="19" borderId="21" xfId="47" applyNumberFormat="1" applyFont="1" applyFill="1" applyBorder="1" applyAlignment="1">
      <alignment horizontal="center" vertical="center"/>
    </xf>
    <xf numFmtId="0" fontId="12" fillId="19" borderId="0" xfId="54" applyFont="1" applyFill="1"/>
    <xf numFmtId="49" fontId="13" fillId="19" borderId="22" xfId="57" applyNumberFormat="1" applyFont="1" applyFill="1" applyBorder="1" applyAlignment="1">
      <alignment horizontal="center" vertical="center" wrapText="1"/>
    </xf>
    <xf numFmtId="49" fontId="13" fillId="19" borderId="14" xfId="57" applyNumberFormat="1" applyFont="1" applyFill="1" applyBorder="1" applyAlignment="1">
      <alignment horizontal="center" vertical="center" wrapText="1"/>
    </xf>
    <xf numFmtId="0" fontId="13" fillId="19" borderId="14" xfId="57" applyFont="1" applyFill="1" applyBorder="1" applyAlignment="1">
      <alignment horizontal="left" vertical="center" wrapText="1"/>
    </xf>
    <xf numFmtId="1" fontId="34" fillId="19" borderId="14" xfId="47" applyNumberFormat="1" applyFont="1" applyFill="1" applyBorder="1" applyAlignment="1">
      <alignment horizontal="center" vertical="center"/>
    </xf>
    <xf numFmtId="1" fontId="43" fillId="19" borderId="14" xfId="47" applyNumberFormat="1" applyFont="1" applyFill="1" applyBorder="1" applyAlignment="1">
      <alignment horizontal="center" vertical="center"/>
    </xf>
    <xf numFmtId="1" fontId="44" fillId="19" borderId="14" xfId="47" applyNumberFormat="1" applyFont="1" applyFill="1" applyBorder="1" applyAlignment="1">
      <alignment horizontal="center" vertical="center"/>
    </xf>
    <xf numFmtId="1" fontId="42" fillId="19" borderId="25" xfId="47" applyNumberFormat="1" applyFont="1" applyFill="1" applyBorder="1" applyAlignment="1">
      <alignment horizontal="center" vertical="center"/>
    </xf>
    <xf numFmtId="49" fontId="13" fillId="19" borderId="9" xfId="54" applyNumberFormat="1" applyFont="1" applyFill="1" applyBorder="1" applyAlignment="1">
      <alignment horizontal="center" vertical="center" wrapText="1"/>
    </xf>
    <xf numFmtId="49" fontId="35" fillId="19" borderId="8" xfId="54" applyNumberFormat="1" applyFont="1" applyFill="1" applyBorder="1" applyAlignment="1">
      <alignment horizontal="center" vertical="center" wrapText="1"/>
    </xf>
    <xf numFmtId="0" fontId="13" fillId="19" borderId="9" xfId="54" applyFont="1" applyFill="1" applyBorder="1" applyAlignment="1">
      <alignment horizontal="left" vertical="center" wrapText="1"/>
    </xf>
    <xf numFmtId="0" fontId="12" fillId="20" borderId="0" xfId="54" applyNumberFormat="1" applyFont="1" applyFill="1" applyAlignment="1" applyProtection="1"/>
    <xf numFmtId="49" fontId="13" fillId="20" borderId="8" xfId="54" applyNumberFormat="1" applyFont="1" applyFill="1" applyBorder="1" applyAlignment="1">
      <alignment horizontal="center" vertical="center" wrapText="1"/>
    </xf>
    <xf numFmtId="49" fontId="35" fillId="20" borderId="9" xfId="54" applyNumberFormat="1" applyFont="1" applyFill="1" applyBorder="1" applyAlignment="1">
      <alignment horizontal="center" vertical="center" wrapText="1"/>
    </xf>
    <xf numFmtId="49" fontId="13" fillId="20" borderId="9" xfId="54" applyNumberFormat="1" applyFont="1" applyFill="1" applyBorder="1" applyAlignment="1">
      <alignment horizontal="center" vertical="center" wrapText="1"/>
    </xf>
    <xf numFmtId="0" fontId="13" fillId="20" borderId="9" xfId="57" applyFont="1" applyFill="1" applyBorder="1" applyAlignment="1">
      <alignment horizontal="left" vertical="center" wrapText="1"/>
    </xf>
    <xf numFmtId="1" fontId="13" fillId="20" borderId="9" xfId="47" applyNumberFormat="1" applyFont="1" applyFill="1" applyBorder="1" applyAlignment="1">
      <alignment horizontal="center" vertical="center"/>
    </xf>
    <xf numFmtId="1" fontId="35" fillId="20" borderId="9" xfId="47" applyNumberFormat="1" applyFont="1" applyFill="1" applyBorder="1" applyAlignment="1">
      <alignment horizontal="center" vertical="center"/>
    </xf>
    <xf numFmtId="1" fontId="42" fillId="20" borderId="21" xfId="47" applyNumberFormat="1" applyFont="1" applyFill="1" applyBorder="1" applyAlignment="1">
      <alignment horizontal="center" vertical="center"/>
    </xf>
    <xf numFmtId="0" fontId="12" fillId="20" borderId="0" xfId="54" applyFont="1" applyFill="1"/>
    <xf numFmtId="0" fontId="35" fillId="20" borderId="9" xfId="57" applyFont="1" applyFill="1" applyBorder="1" applyAlignment="1">
      <alignment horizontal="left" vertical="center" wrapText="1"/>
    </xf>
    <xf numFmtId="49" fontId="35" fillId="20" borderId="8" xfId="57" applyNumberFormat="1" applyFont="1" applyFill="1" applyBorder="1" applyAlignment="1">
      <alignment horizontal="center" vertical="center" wrapText="1"/>
    </xf>
    <xf numFmtId="49" fontId="35" fillId="20" borderId="9" xfId="57" applyNumberFormat="1" applyFont="1" applyFill="1" applyBorder="1" applyAlignment="1">
      <alignment horizontal="center" vertical="center" wrapText="1"/>
    </xf>
    <xf numFmtId="49" fontId="13" fillId="20" borderId="8" xfId="57" applyNumberFormat="1" applyFont="1" applyFill="1" applyBorder="1" applyAlignment="1">
      <alignment horizontal="center" vertical="center" wrapText="1"/>
    </xf>
    <xf numFmtId="49" fontId="13" fillId="20" borderId="9" xfId="57" applyNumberFormat="1" applyFont="1" applyFill="1" applyBorder="1" applyAlignment="1">
      <alignment horizontal="center" vertical="center" wrapText="1"/>
    </xf>
    <xf numFmtId="0" fontId="12" fillId="21" borderId="0" xfId="54" applyNumberFormat="1" applyFont="1" applyFill="1" applyAlignment="1" applyProtection="1"/>
    <xf numFmtId="49" fontId="13" fillId="21" borderId="8" xfId="57" applyNumberFormat="1" applyFont="1" applyFill="1" applyBorder="1" applyAlignment="1">
      <alignment horizontal="center" vertical="center" wrapText="1"/>
    </xf>
    <xf numFmtId="49" fontId="13" fillId="21" borderId="9" xfId="54" applyNumberFormat="1" applyFont="1" applyFill="1" applyBorder="1" applyAlignment="1">
      <alignment horizontal="center" vertical="center" wrapText="1"/>
    </xf>
    <xf numFmtId="0" fontId="13" fillId="21" borderId="9" xfId="57" applyFont="1" applyFill="1" applyBorder="1" applyAlignment="1">
      <alignment horizontal="left" vertical="center" wrapText="1"/>
    </xf>
    <xf numFmtId="1" fontId="42" fillId="21" borderId="9" xfId="47" applyNumberFormat="1" applyFont="1" applyFill="1" applyBorder="1" applyAlignment="1">
      <alignment horizontal="center" vertical="center"/>
    </xf>
    <xf numFmtId="1" fontId="34" fillId="21" borderId="9" xfId="47" applyNumberFormat="1" applyFont="1" applyFill="1" applyBorder="1" applyAlignment="1">
      <alignment horizontal="center" vertical="center"/>
    </xf>
    <xf numFmtId="1" fontId="13" fillId="21" borderId="9" xfId="47" applyNumberFormat="1" applyFont="1" applyFill="1" applyBorder="1" applyAlignment="1">
      <alignment horizontal="center" vertical="center"/>
    </xf>
    <xf numFmtId="1" fontId="43" fillId="21" borderId="9" xfId="47" applyNumberFormat="1" applyFont="1" applyFill="1" applyBorder="1" applyAlignment="1">
      <alignment horizontal="center" vertical="center"/>
    </xf>
    <xf numFmtId="1" fontId="44" fillId="21" borderId="9" xfId="47" applyNumberFormat="1" applyFont="1" applyFill="1" applyBorder="1" applyAlignment="1">
      <alignment horizontal="center" vertical="center"/>
    </xf>
    <xf numFmtId="1" fontId="42" fillId="21" borderId="21" xfId="47" applyNumberFormat="1" applyFont="1" applyFill="1" applyBorder="1" applyAlignment="1">
      <alignment horizontal="center" vertical="center"/>
    </xf>
    <xf numFmtId="0" fontId="12" fillId="21" borderId="0" xfId="54" applyFont="1" applyFill="1"/>
    <xf numFmtId="49" fontId="35" fillId="21" borderId="8" xfId="57" applyNumberFormat="1" applyFont="1" applyFill="1" applyBorder="1" applyAlignment="1">
      <alignment horizontal="center" vertical="center" wrapText="1"/>
    </xf>
    <xf numFmtId="49" fontId="35" fillId="21" borderId="9" xfId="54" applyNumberFormat="1" applyFont="1" applyFill="1" applyBorder="1" applyAlignment="1">
      <alignment horizontal="center" vertical="center" wrapText="1"/>
    </xf>
    <xf numFmtId="0" fontId="35" fillId="21" borderId="9" xfId="57" applyFont="1" applyFill="1" applyBorder="1" applyAlignment="1">
      <alignment horizontal="left" vertical="center" wrapText="1"/>
    </xf>
    <xf numFmtId="0" fontId="12" fillId="22" borderId="0" xfId="54" applyNumberFormat="1" applyFont="1" applyFill="1" applyAlignment="1" applyProtection="1"/>
    <xf numFmtId="49" fontId="13" fillId="22" borderId="8" xfId="57" applyNumberFormat="1" applyFont="1" applyFill="1" applyBorder="1" applyAlignment="1">
      <alignment horizontal="center" vertical="center" wrapText="1"/>
    </xf>
    <xf numFmtId="49" fontId="13" fillId="22" borderId="9" xfId="54" applyNumberFormat="1" applyFont="1" applyFill="1" applyBorder="1" applyAlignment="1">
      <alignment horizontal="center" vertical="center" wrapText="1"/>
    </xf>
    <xf numFmtId="0" fontId="13" fillId="22" borderId="9" xfId="57" applyFont="1" applyFill="1" applyBorder="1" applyAlignment="1">
      <alignment horizontal="left" vertical="center" wrapText="1"/>
    </xf>
    <xf numFmtId="1" fontId="42" fillId="22" borderId="9" xfId="47" applyNumberFormat="1" applyFont="1" applyFill="1" applyBorder="1" applyAlignment="1">
      <alignment horizontal="center" vertical="center"/>
    </xf>
    <xf numFmtId="1" fontId="34" fillId="22" borderId="9" xfId="47" applyNumberFormat="1" applyFont="1" applyFill="1" applyBorder="1" applyAlignment="1">
      <alignment horizontal="center" vertical="center"/>
    </xf>
    <xf numFmtId="1" fontId="13" fillId="22" borderId="9" xfId="47" applyNumberFormat="1" applyFont="1" applyFill="1" applyBorder="1" applyAlignment="1">
      <alignment horizontal="center" vertical="center"/>
    </xf>
    <xf numFmtId="1" fontId="43" fillId="22" borderId="9" xfId="47" applyNumberFormat="1" applyFont="1" applyFill="1" applyBorder="1" applyAlignment="1">
      <alignment horizontal="center" vertical="center"/>
    </xf>
    <xf numFmtId="1" fontId="44" fillId="22" borderId="9" xfId="47" applyNumberFormat="1" applyFont="1" applyFill="1" applyBorder="1" applyAlignment="1">
      <alignment horizontal="center" vertical="center"/>
    </xf>
    <xf numFmtId="1" fontId="42" fillId="22" borderId="21" xfId="47" applyNumberFormat="1" applyFont="1" applyFill="1" applyBorder="1" applyAlignment="1">
      <alignment horizontal="center" vertical="center"/>
    </xf>
    <xf numFmtId="0" fontId="12" fillId="22" borderId="0" xfId="54" applyFont="1" applyFill="1"/>
    <xf numFmtId="1" fontId="35" fillId="22" borderId="9" xfId="47" applyNumberFormat="1" applyFont="1" applyFill="1" applyBorder="1" applyAlignment="1">
      <alignment horizontal="center" vertical="center"/>
    </xf>
    <xf numFmtId="49" fontId="13" fillId="22" borderId="9" xfId="57" applyNumberFormat="1" applyFont="1" applyFill="1" applyBorder="1" applyAlignment="1">
      <alignment horizontal="center" vertical="center" wrapText="1"/>
    </xf>
    <xf numFmtId="0" fontId="12" fillId="23" borderId="0" xfId="54" applyNumberFormat="1" applyFont="1" applyFill="1" applyAlignment="1" applyProtection="1"/>
    <xf numFmtId="49" fontId="13" fillId="23" borderId="8" xfId="57" applyNumberFormat="1" applyFont="1" applyFill="1" applyBorder="1" applyAlignment="1">
      <alignment horizontal="center" vertical="center" wrapText="1"/>
    </xf>
    <xf numFmtId="49" fontId="13" fillId="23" borderId="9" xfId="54" applyNumberFormat="1" applyFont="1" applyFill="1" applyBorder="1" applyAlignment="1">
      <alignment horizontal="center" vertical="center" wrapText="1"/>
    </xf>
    <xf numFmtId="0" fontId="13" fillId="23" borderId="9" xfId="57" applyFont="1" applyFill="1" applyBorder="1" applyAlignment="1">
      <alignment horizontal="left" vertical="center" wrapText="1"/>
    </xf>
    <xf numFmtId="1" fontId="42" fillId="23" borderId="9" xfId="47" applyNumberFormat="1" applyFont="1" applyFill="1" applyBorder="1" applyAlignment="1">
      <alignment horizontal="center" vertical="center"/>
    </xf>
    <xf numFmtId="1" fontId="34" fillId="23" borderId="9" xfId="47" applyNumberFormat="1" applyFont="1" applyFill="1" applyBorder="1" applyAlignment="1">
      <alignment horizontal="center" vertical="center"/>
    </xf>
    <xf numFmtId="1" fontId="13" fillId="23" borderId="9" xfId="47" applyNumberFormat="1" applyFont="1" applyFill="1" applyBorder="1" applyAlignment="1">
      <alignment horizontal="center" vertical="center"/>
    </xf>
    <xf numFmtId="1" fontId="43" fillId="23" borderId="9" xfId="47" applyNumberFormat="1" applyFont="1" applyFill="1" applyBorder="1" applyAlignment="1">
      <alignment horizontal="center" vertical="center"/>
    </xf>
    <xf numFmtId="1" fontId="44" fillId="23" borderId="9" xfId="47" applyNumberFormat="1" applyFont="1" applyFill="1" applyBorder="1" applyAlignment="1">
      <alignment horizontal="center" vertical="center"/>
    </xf>
    <xf numFmtId="1" fontId="42" fillId="23" borderId="21" xfId="47" applyNumberFormat="1" applyFont="1" applyFill="1" applyBorder="1" applyAlignment="1">
      <alignment horizontal="center" vertical="center"/>
    </xf>
    <xf numFmtId="0" fontId="12" fillId="23" borderId="0" xfId="54" applyFont="1" applyFill="1"/>
    <xf numFmtId="1" fontId="34" fillId="23" borderId="9" xfId="47" applyNumberFormat="1" applyFont="1" applyFill="1" applyBorder="1" applyAlignment="1">
      <alignment horizontal="left" vertical="top"/>
    </xf>
    <xf numFmtId="49" fontId="13" fillId="23" borderId="9" xfId="57" applyNumberFormat="1" applyFont="1" applyFill="1" applyBorder="1" applyAlignment="1">
      <alignment horizontal="center" vertical="center" wrapText="1"/>
    </xf>
    <xf numFmtId="1" fontId="34" fillId="23" borderId="9" xfId="47" applyNumberFormat="1" applyFont="1" applyFill="1" applyBorder="1" applyAlignment="1">
      <alignment horizontal="left" vertical="top" wrapText="1"/>
    </xf>
    <xf numFmtId="1" fontId="35" fillId="23" borderId="9" xfId="47" applyNumberFormat="1" applyFont="1" applyFill="1" applyBorder="1" applyAlignment="1">
      <alignment horizontal="center" vertical="center"/>
    </xf>
    <xf numFmtId="0" fontId="13" fillId="18" borderId="9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center" wrapText="1"/>
    </xf>
    <xf numFmtId="1" fontId="64" fillId="0" borderId="0" xfId="0" applyNumberFormat="1" applyFont="1" applyFill="1"/>
    <xf numFmtId="1" fontId="0" fillId="0" borderId="0" xfId="0" applyNumberFormat="1"/>
    <xf numFmtId="1" fontId="6" fillId="0" borderId="0" xfId="0" applyNumberFormat="1" applyFont="1"/>
    <xf numFmtId="167" fontId="0" fillId="0" borderId="0" xfId="0" applyNumberFormat="1"/>
    <xf numFmtId="0" fontId="65" fillId="0" borderId="0" xfId="0" applyFont="1" applyAlignment="1"/>
    <xf numFmtId="1" fontId="65" fillId="0" borderId="0" xfId="0" applyNumberFormat="1" applyFont="1" applyFill="1" applyAlignment="1"/>
    <xf numFmtId="1" fontId="4" fillId="0" borderId="0" xfId="0" applyNumberFormat="1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1" fontId="67" fillId="0" borderId="27" xfId="0" applyNumberFormat="1" applyFont="1" applyFill="1" applyBorder="1" applyAlignment="1">
      <alignment horizontal="center" vertical="center" wrapText="1"/>
    </xf>
    <xf numFmtId="1" fontId="6" fillId="0" borderId="24" xfId="0" applyNumberFormat="1" applyFont="1" applyFill="1" applyBorder="1" applyAlignment="1">
      <alignment horizontal="center" vertical="center" wrapText="1"/>
    </xf>
    <xf numFmtId="1" fontId="6" fillId="0" borderId="28" xfId="0" applyNumberFormat="1" applyFont="1" applyFill="1" applyBorder="1" applyAlignment="1">
      <alignment horizontal="center" vertical="center" wrapText="1"/>
    </xf>
    <xf numFmtId="1" fontId="67" fillId="0" borderId="29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1" fontId="67" fillId="0" borderId="15" xfId="0" applyNumberFormat="1" applyFont="1" applyFill="1" applyBorder="1" applyAlignment="1">
      <alignment horizontal="center" vertical="center" wrapText="1"/>
    </xf>
    <xf numFmtId="167" fontId="69" fillId="0" borderId="9" xfId="0" applyNumberFormat="1" applyFont="1" applyBorder="1" applyAlignment="1">
      <alignment horizontal="center" vertical="center"/>
    </xf>
    <xf numFmtId="0" fontId="67" fillId="0" borderId="9" xfId="0" applyFont="1" applyBorder="1"/>
    <xf numFmtId="0" fontId="67" fillId="0" borderId="30" xfId="0" applyFont="1" applyBorder="1" applyAlignment="1">
      <alignment wrapText="1"/>
    </xf>
    <xf numFmtId="1" fontId="70" fillId="0" borderId="8" xfId="53" applyNumberFormat="1" applyFont="1" applyFill="1" applyBorder="1"/>
    <xf numFmtId="1" fontId="70" fillId="0" borderId="9" xfId="53" applyNumberFormat="1" applyFont="1" applyFill="1" applyBorder="1"/>
    <xf numFmtId="1" fontId="70" fillId="0" borderId="21" xfId="53" applyNumberFormat="1" applyFont="1" applyFill="1" applyBorder="1"/>
    <xf numFmtId="1" fontId="70" fillId="0" borderId="31" xfId="53" applyNumberFormat="1" applyFont="1" applyBorder="1"/>
    <xf numFmtId="1" fontId="70" fillId="0" borderId="9" xfId="53" applyNumberFormat="1" applyFont="1" applyBorder="1"/>
    <xf numFmtId="1" fontId="70" fillId="0" borderId="32" xfId="53" applyNumberFormat="1" applyFont="1" applyBorder="1"/>
    <xf numFmtId="1" fontId="70" fillId="0" borderId="27" xfId="53" applyNumberFormat="1" applyFont="1" applyBorder="1"/>
    <xf numFmtId="1" fontId="70" fillId="0" borderId="33" xfId="53" applyNumberFormat="1" applyFont="1" applyBorder="1"/>
    <xf numFmtId="1" fontId="70" fillId="0" borderId="34" xfId="53" applyNumberFormat="1" applyFont="1" applyBorder="1"/>
    <xf numFmtId="0" fontId="63" fillId="0" borderId="0" xfId="0" applyFont="1"/>
    <xf numFmtId="167" fontId="2" fillId="0" borderId="9" xfId="0" applyNumberFormat="1" applyFont="1" applyBorder="1"/>
    <xf numFmtId="0" fontId="2" fillId="0" borderId="9" xfId="0" applyFont="1" applyBorder="1"/>
    <xf numFmtId="1" fontId="69" fillId="0" borderId="9" xfId="0" applyNumberFormat="1" applyFont="1" applyBorder="1" applyAlignment="1">
      <alignment horizontal="right" vertical="center"/>
    </xf>
    <xf numFmtId="0" fontId="2" fillId="0" borderId="0" xfId="0" applyFont="1" applyBorder="1"/>
    <xf numFmtId="1" fontId="70" fillId="0" borderId="8" xfId="53" applyNumberFormat="1" applyFont="1" applyBorder="1"/>
    <xf numFmtId="1" fontId="70" fillId="0" borderId="7" xfId="53" applyNumberFormat="1" applyFont="1" applyBorder="1"/>
    <xf numFmtId="0" fontId="6" fillId="0" borderId="30" xfId="0" applyFont="1" applyBorder="1" applyAlignment="1">
      <alignment wrapText="1"/>
    </xf>
    <xf numFmtId="1" fontId="9" fillId="0" borderId="8" xfId="53" applyNumberFormat="1" applyFont="1" applyFill="1" applyBorder="1"/>
    <xf numFmtId="1" fontId="9" fillId="0" borderId="9" xfId="53" applyNumberFormat="1" applyFont="1" applyFill="1" applyBorder="1"/>
    <xf numFmtId="1" fontId="9" fillId="0" borderId="21" xfId="53" applyNumberFormat="1" applyFont="1" applyFill="1" applyBorder="1"/>
    <xf numFmtId="1" fontId="6" fillId="0" borderId="31" xfId="0" applyNumberFormat="1" applyFont="1" applyBorder="1"/>
    <xf numFmtId="1" fontId="6" fillId="0" borderId="9" xfId="0" applyNumberFormat="1" applyFont="1" applyBorder="1"/>
    <xf numFmtId="1" fontId="6" fillId="0" borderId="32" xfId="0" applyNumberFormat="1" applyFont="1" applyBorder="1"/>
    <xf numFmtId="1" fontId="6" fillId="0" borderId="8" xfId="0" applyNumberFormat="1" applyFont="1" applyBorder="1"/>
    <xf numFmtId="1" fontId="6" fillId="0" borderId="7" xfId="0" applyNumberFormat="1" applyFont="1" applyBorder="1"/>
    <xf numFmtId="49" fontId="0" fillId="0" borderId="0" xfId="0" applyNumberFormat="1"/>
    <xf numFmtId="1" fontId="9" fillId="0" borderId="31" xfId="53" applyNumberFormat="1" applyFont="1" applyBorder="1"/>
    <xf numFmtId="1" fontId="9" fillId="0" borderId="9" xfId="53" applyNumberFormat="1" applyFont="1" applyBorder="1"/>
    <xf numFmtId="1" fontId="9" fillId="0" borderId="32" xfId="53" applyNumberFormat="1" applyFont="1" applyBorder="1"/>
    <xf numFmtId="1" fontId="9" fillId="0" borderId="8" xfId="53" applyNumberFormat="1" applyFont="1" applyBorder="1"/>
    <xf numFmtId="1" fontId="9" fillId="0" borderId="7" xfId="53" applyNumberFormat="1" applyFont="1" applyBorder="1"/>
    <xf numFmtId="0" fontId="63" fillId="0" borderId="0" xfId="0" applyFont="1" applyBorder="1"/>
    <xf numFmtId="2" fontId="0" fillId="0" borderId="0" xfId="0" applyNumberFormat="1" applyBorder="1"/>
    <xf numFmtId="0" fontId="0" fillId="0" borderId="0" xfId="0" applyBorder="1"/>
    <xf numFmtId="0" fontId="6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1" fontId="67" fillId="0" borderId="31" xfId="0" applyNumberFormat="1" applyFont="1" applyBorder="1"/>
    <xf numFmtId="1" fontId="67" fillId="0" borderId="9" xfId="0" applyNumberFormat="1" applyFont="1" applyBorder="1"/>
    <xf numFmtId="1" fontId="67" fillId="0" borderId="32" xfId="0" applyNumberFormat="1" applyFont="1" applyBorder="1"/>
    <xf numFmtId="1" fontId="67" fillId="0" borderId="8" xfId="0" applyNumberFormat="1" applyFont="1" applyBorder="1"/>
    <xf numFmtId="1" fontId="67" fillId="0" borderId="7" xfId="0" applyNumberFormat="1" applyFont="1" applyBorder="1"/>
    <xf numFmtId="2" fontId="0" fillId="0" borderId="0" xfId="0" applyNumberFormat="1"/>
    <xf numFmtId="167" fontId="2" fillId="24" borderId="9" xfId="0" applyNumberFormat="1" applyFont="1" applyFill="1" applyBorder="1"/>
    <xf numFmtId="0" fontId="2" fillId="24" borderId="9" xfId="0" applyFont="1" applyFill="1" applyBorder="1"/>
    <xf numFmtId="1" fontId="69" fillId="24" borderId="9" xfId="0" applyNumberFormat="1" applyFont="1" applyFill="1" applyBorder="1" applyAlignment="1">
      <alignment horizontal="right" vertical="center"/>
    </xf>
    <xf numFmtId="1" fontId="63" fillId="0" borderId="0" xfId="0" applyNumberFormat="1" applyFont="1"/>
    <xf numFmtId="0" fontId="0" fillId="0" borderId="0" xfId="0" applyBorder="1" applyAlignment="1">
      <alignment horizontal="center" wrapText="1"/>
    </xf>
    <xf numFmtId="1" fontId="64" fillId="0" borderId="0" xfId="53" applyNumberFormat="1" applyFont="1" applyFill="1" applyBorder="1"/>
    <xf numFmtId="1" fontId="12" fillId="19" borderId="0" xfId="54" applyNumberFormat="1" applyFont="1" applyFill="1" applyAlignment="1" applyProtection="1"/>
    <xf numFmtId="0" fontId="71" fillId="19" borderId="0" xfId="54" applyNumberFormat="1" applyFont="1" applyFill="1" applyAlignment="1" applyProtection="1"/>
    <xf numFmtId="0" fontId="33" fillId="0" borderId="0" xfId="54" applyNumberFormat="1" applyFont="1" applyFill="1" applyAlignment="1" applyProtection="1">
      <alignment horizontal="right"/>
    </xf>
    <xf numFmtId="1" fontId="33" fillId="20" borderId="0" xfId="54" applyNumberFormat="1" applyFont="1" applyFill="1" applyAlignment="1" applyProtection="1"/>
    <xf numFmtId="0" fontId="12" fillId="0" borderId="0" xfId="54" applyFont="1" applyFill="1" applyAlignment="1">
      <alignment wrapText="1"/>
    </xf>
    <xf numFmtId="0" fontId="12" fillId="23" borderId="0" xfId="54" applyFont="1" applyFill="1" applyBorder="1"/>
    <xf numFmtId="0" fontId="32" fillId="23" borderId="0" xfId="54" applyFont="1" applyFill="1" applyBorder="1" applyAlignment="1">
      <alignment wrapText="1"/>
    </xf>
    <xf numFmtId="0" fontId="12" fillId="23" borderId="0" xfId="54" applyFont="1" applyFill="1" applyAlignment="1">
      <alignment vertical="center"/>
    </xf>
    <xf numFmtId="1" fontId="12" fillId="23" borderId="0" xfId="54" applyNumberFormat="1" applyFont="1" applyFill="1" applyAlignment="1">
      <alignment vertical="center"/>
    </xf>
    <xf numFmtId="1" fontId="35" fillId="23" borderId="17" xfId="54" applyNumberFormat="1" applyFont="1" applyFill="1" applyBorder="1" applyAlignment="1">
      <alignment horizontal="center" vertical="center"/>
    </xf>
    <xf numFmtId="1" fontId="42" fillId="23" borderId="17" xfId="54" applyNumberFormat="1" applyFont="1" applyFill="1" applyBorder="1" applyAlignment="1">
      <alignment horizontal="center" vertical="center"/>
    </xf>
    <xf numFmtId="1" fontId="42" fillId="23" borderId="18" xfId="54" applyNumberFormat="1" applyFont="1" applyFill="1" applyBorder="1" applyAlignment="1">
      <alignment horizontal="center" vertical="center"/>
    </xf>
    <xf numFmtId="1" fontId="42" fillId="23" borderId="20" xfId="47" applyNumberFormat="1" applyFont="1" applyFill="1" applyBorder="1" applyAlignment="1">
      <alignment horizontal="center" vertical="center"/>
    </xf>
    <xf numFmtId="1" fontId="34" fillId="23" borderId="21" xfId="47" applyNumberFormat="1" applyFont="1" applyFill="1" applyBorder="1" applyAlignment="1">
      <alignment horizontal="center" vertical="center"/>
    </xf>
    <xf numFmtId="1" fontId="43" fillId="19" borderId="17" xfId="54" applyNumberFormat="1" applyFont="1" applyFill="1" applyBorder="1" applyAlignment="1">
      <alignment horizontal="center" vertical="center"/>
    </xf>
    <xf numFmtId="49" fontId="69" fillId="0" borderId="9" xfId="0" applyNumberFormat="1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5" fillId="18" borderId="0" xfId="54" applyNumberFormat="1" applyFont="1" applyFill="1" applyBorder="1" applyAlignment="1" applyProtection="1">
      <alignment horizontal="center" vertical="top" wrapText="1"/>
    </xf>
    <xf numFmtId="0" fontId="15" fillId="18" borderId="0" xfId="54" applyNumberFormat="1" applyFont="1" applyFill="1" applyBorder="1" applyAlignment="1" applyProtection="1">
      <alignment horizontal="center" vertical="top"/>
    </xf>
    <xf numFmtId="1" fontId="20" fillId="18" borderId="17" xfId="47" applyNumberFormat="1" applyFont="1" applyFill="1" applyBorder="1" applyAlignment="1">
      <alignment vertical="center"/>
    </xf>
    <xf numFmtId="1" fontId="44" fillId="20" borderId="0" xfId="54" applyNumberFormat="1" applyFont="1" applyFill="1" applyAlignment="1" applyProtection="1"/>
    <xf numFmtId="0" fontId="12" fillId="22" borderId="0" xfId="54" applyNumberFormat="1" applyFont="1" applyFill="1" applyBorder="1" applyAlignment="1" applyProtection="1"/>
    <xf numFmtId="0" fontId="35" fillId="22" borderId="0" xfId="54" applyNumberFormat="1" applyFont="1" applyFill="1" applyBorder="1" applyAlignment="1" applyProtection="1">
      <alignment horizontal="center" vertical="top" wrapText="1"/>
    </xf>
    <xf numFmtId="0" fontId="15" fillId="22" borderId="0" xfId="54" applyNumberFormat="1" applyFont="1" applyFill="1" applyBorder="1" applyAlignment="1" applyProtection="1">
      <alignment horizontal="center" vertical="top"/>
    </xf>
    <xf numFmtId="0" fontId="38" fillId="22" borderId="14" xfId="54" applyNumberFormat="1" applyFont="1" applyFill="1" applyBorder="1" applyAlignment="1" applyProtection="1">
      <alignment horizontal="center" vertical="center" wrapText="1"/>
    </xf>
    <xf numFmtId="1" fontId="20" fillId="22" borderId="17" xfId="47" applyNumberFormat="1" applyFont="1" applyFill="1" applyBorder="1" applyAlignment="1">
      <alignment vertical="center"/>
    </xf>
    <xf numFmtId="1" fontId="42" fillId="22" borderId="13" xfId="47" applyNumberFormat="1" applyFont="1" applyFill="1" applyBorder="1" applyAlignment="1">
      <alignment horizontal="center" vertical="center"/>
    </xf>
    <xf numFmtId="1" fontId="42" fillId="22" borderId="17" xfId="54" applyNumberFormat="1" applyFont="1" applyFill="1" applyBorder="1" applyAlignment="1">
      <alignment horizontal="center" vertical="center"/>
    </xf>
    <xf numFmtId="0" fontId="12" fillId="22" borderId="23" xfId="54" applyNumberFormat="1" applyFont="1" applyFill="1" applyBorder="1" applyAlignment="1" applyProtection="1"/>
    <xf numFmtId="0" fontId="13" fillId="0" borderId="9" xfId="57" applyFont="1" applyBorder="1" applyAlignment="1">
      <alignment horizontal="center" vertical="center" wrapText="1"/>
    </xf>
    <xf numFmtId="1" fontId="13" fillId="18" borderId="9" xfId="47" applyNumberFormat="1" applyFont="1" applyFill="1" applyBorder="1" applyAlignment="1">
      <alignment horizontal="right" vertical="center"/>
    </xf>
    <xf numFmtId="2" fontId="12" fillId="18" borderId="0" xfId="54" applyNumberFormat="1" applyFont="1" applyFill="1"/>
    <xf numFmtId="1" fontId="12" fillId="0" borderId="0" xfId="54" applyNumberFormat="1" applyFont="1" applyFill="1"/>
    <xf numFmtId="1" fontId="2" fillId="0" borderId="0" xfId="0" applyNumberFormat="1" applyFont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1" fontId="6" fillId="0" borderId="31" xfId="0" applyNumberFormat="1" applyFont="1" applyFill="1" applyBorder="1"/>
    <xf numFmtId="1" fontId="6" fillId="0" borderId="9" xfId="0" applyNumberFormat="1" applyFont="1" applyFill="1" applyBorder="1"/>
    <xf numFmtId="1" fontId="6" fillId="0" borderId="32" xfId="0" applyNumberFormat="1" applyFont="1" applyFill="1" applyBorder="1"/>
    <xf numFmtId="1" fontId="6" fillId="0" borderId="8" xfId="0" applyNumberFormat="1" applyFont="1" applyFill="1" applyBorder="1"/>
    <xf numFmtId="1" fontId="6" fillId="0" borderId="7" xfId="0" applyNumberFormat="1" applyFont="1" applyFill="1" applyBorder="1"/>
    <xf numFmtId="0" fontId="0" fillId="0" borderId="0" xfId="0" applyFill="1"/>
    <xf numFmtId="167" fontId="2" fillId="0" borderId="9" xfId="0" applyNumberFormat="1" applyFont="1" applyFill="1" applyBorder="1"/>
    <xf numFmtId="0" fontId="2" fillId="0" borderId="9" xfId="0" applyFont="1" applyFill="1" applyBorder="1"/>
    <xf numFmtId="1" fontId="69" fillId="0" borderId="9" xfId="0" applyNumberFormat="1" applyFont="1" applyFill="1" applyBorder="1" applyAlignment="1">
      <alignment horizontal="right" vertical="center"/>
    </xf>
    <xf numFmtId="0" fontId="2" fillId="0" borderId="0" xfId="0" applyFont="1" applyFill="1" applyBorder="1"/>
    <xf numFmtId="1" fontId="70" fillId="27" borderId="8" xfId="53" applyNumberFormat="1" applyFont="1" applyFill="1" applyBorder="1"/>
    <xf numFmtId="1" fontId="70" fillId="27" borderId="9" xfId="53" applyNumberFormat="1" applyFont="1" applyFill="1" applyBorder="1"/>
    <xf numFmtId="1" fontId="70" fillId="27" borderId="21" xfId="53" applyNumberFormat="1" applyFont="1" applyFill="1" applyBorder="1"/>
    <xf numFmtId="1" fontId="70" fillId="27" borderId="38" xfId="53" applyNumberFormat="1" applyFont="1" applyFill="1" applyBorder="1"/>
    <xf numFmtId="1" fontId="70" fillId="27" borderId="39" xfId="53" applyNumberFormat="1" applyFont="1" applyFill="1" applyBorder="1"/>
    <xf numFmtId="1" fontId="70" fillId="27" borderId="40" xfId="53" applyNumberFormat="1" applyFont="1" applyFill="1" applyBorder="1"/>
    <xf numFmtId="1" fontId="70" fillId="28" borderId="31" xfId="53" applyNumberFormat="1" applyFont="1" applyFill="1" applyBorder="1"/>
    <xf numFmtId="1" fontId="70" fillId="28" borderId="9" xfId="53" applyNumberFormat="1" applyFont="1" applyFill="1" applyBorder="1"/>
    <xf numFmtId="1" fontId="70" fillId="28" borderId="32" xfId="53" applyNumberFormat="1" applyFont="1" applyFill="1" applyBorder="1"/>
    <xf numFmtId="1" fontId="70" fillId="28" borderId="41" xfId="53" applyNumberFormat="1" applyFont="1" applyFill="1" applyBorder="1"/>
    <xf numFmtId="1" fontId="70" fillId="28" borderId="39" xfId="53" applyNumberFormat="1" applyFont="1" applyFill="1" applyBorder="1"/>
    <xf numFmtId="1" fontId="70" fillId="28" borderId="42" xfId="53" applyNumberFormat="1" applyFont="1" applyFill="1" applyBorder="1"/>
    <xf numFmtId="1" fontId="70" fillId="29" borderId="8" xfId="53" applyNumberFormat="1" applyFont="1" applyFill="1" applyBorder="1"/>
    <xf numFmtId="1" fontId="70" fillId="29" borderId="38" xfId="53" applyNumberFormat="1" applyFont="1" applyFill="1" applyBorder="1"/>
    <xf numFmtId="1" fontId="70" fillId="26" borderId="8" xfId="53" applyNumberFormat="1" applyFont="1" applyFill="1" applyBorder="1"/>
    <xf numFmtId="1" fontId="70" fillId="26" borderId="7" xfId="53" applyNumberFormat="1" applyFont="1" applyFill="1" applyBorder="1"/>
    <xf numFmtId="1" fontId="70" fillId="26" borderId="32" xfId="53" applyNumberFormat="1" applyFont="1" applyFill="1" applyBorder="1"/>
    <xf numFmtId="1" fontId="70" fillId="26" borderId="38" xfId="53" applyNumberFormat="1" applyFont="1" applyFill="1" applyBorder="1"/>
    <xf numFmtId="1" fontId="70" fillId="26" borderId="43" xfId="53" applyNumberFormat="1" applyFont="1" applyFill="1" applyBorder="1"/>
    <xf numFmtId="1" fontId="70" fillId="26" borderId="42" xfId="53" applyNumberFormat="1" applyFont="1" applyFill="1" applyBorder="1"/>
    <xf numFmtId="1" fontId="22" fillId="0" borderId="9" xfId="0" applyNumberFormat="1" applyFont="1" applyBorder="1" applyAlignment="1">
      <alignment horizontal="center" vertical="center"/>
    </xf>
    <xf numFmtId="0" fontId="13" fillId="0" borderId="0" xfId="54" applyNumberFormat="1" applyFont="1" applyFill="1" applyAlignment="1" applyProtection="1">
      <alignment horizontal="left" vertical="top"/>
    </xf>
    <xf numFmtId="0" fontId="14" fillId="18" borderId="13" xfId="54" applyNumberFormat="1" applyFont="1" applyFill="1" applyBorder="1" applyAlignment="1" applyProtection="1">
      <alignment horizontal="center" vertical="center" wrapText="1"/>
    </xf>
    <xf numFmtId="0" fontId="13" fillId="18" borderId="9" xfId="54" applyNumberFormat="1" applyFont="1" applyFill="1" applyBorder="1" applyAlignment="1" applyProtection="1">
      <alignment horizontal="center" vertical="center" wrapText="1"/>
    </xf>
    <xf numFmtId="0" fontId="12" fillId="25" borderId="0" xfId="54" applyFont="1" applyFill="1"/>
    <xf numFmtId="0" fontId="21" fillId="0" borderId="0" xfId="54" applyNumberFormat="1" applyFont="1" applyFill="1" applyAlignment="1" applyProtection="1"/>
    <xf numFmtId="0" fontId="72" fillId="18" borderId="9" xfId="54" applyNumberFormat="1" applyFont="1" applyFill="1" applyBorder="1" applyAlignment="1" applyProtection="1">
      <alignment horizontal="center" vertical="center" wrapText="1"/>
    </xf>
    <xf numFmtId="49" fontId="35" fillId="0" borderId="13" xfId="54" applyNumberFormat="1" applyFont="1" applyFill="1" applyBorder="1" applyAlignment="1">
      <alignment horizontal="center" vertical="center" wrapText="1"/>
    </xf>
    <xf numFmtId="0" fontId="35" fillId="0" borderId="13" xfId="54" applyFont="1" applyFill="1" applyBorder="1" applyAlignment="1">
      <alignment horizontal="center" vertical="center" wrapText="1"/>
    </xf>
    <xf numFmtId="49" fontId="13" fillId="25" borderId="9" xfId="54" applyNumberFormat="1" applyFont="1" applyFill="1" applyBorder="1" applyAlignment="1">
      <alignment horizontal="center" vertical="center" wrapText="1"/>
    </xf>
    <xf numFmtId="0" fontId="13" fillId="25" borderId="9" xfId="54" applyFont="1" applyFill="1" applyBorder="1" applyAlignment="1">
      <alignment horizontal="center" vertical="center" wrapText="1"/>
    </xf>
    <xf numFmtId="1" fontId="6" fillId="25" borderId="9" xfId="47" applyNumberFormat="1" applyFont="1" applyFill="1" applyBorder="1" applyAlignment="1">
      <alignment vertical="center" wrapText="1"/>
    </xf>
    <xf numFmtId="49" fontId="13" fillId="28" borderId="9" xfId="54" applyNumberFormat="1" applyFont="1" applyFill="1" applyBorder="1" applyAlignment="1">
      <alignment horizontal="center" vertical="center" wrapText="1"/>
    </xf>
    <xf numFmtId="0" fontId="13" fillId="25" borderId="13" xfId="54" applyFont="1" applyFill="1" applyBorder="1" applyAlignment="1">
      <alignment horizontal="center" vertical="center" wrapText="1"/>
    </xf>
    <xf numFmtId="1" fontId="42" fillId="18" borderId="9" xfId="47" applyNumberFormat="1" applyFont="1" applyFill="1" applyBorder="1" applyAlignment="1">
      <alignment horizontal="right" vertical="center"/>
    </xf>
    <xf numFmtId="1" fontId="35" fillId="18" borderId="9" xfId="47" applyNumberFormat="1" applyFont="1" applyFill="1" applyBorder="1" applyAlignment="1">
      <alignment horizontal="right" vertical="center"/>
    </xf>
    <xf numFmtId="1" fontId="6" fillId="18" borderId="9" xfId="47" applyNumberFormat="1" applyFont="1" applyFill="1" applyBorder="1" applyAlignment="1">
      <alignment horizontal="left" vertical="top"/>
    </xf>
    <xf numFmtId="1" fontId="6" fillId="18" borderId="9" xfId="47" applyNumberFormat="1" applyFont="1" applyFill="1" applyBorder="1" applyAlignment="1">
      <alignment horizontal="left" vertical="top" wrapText="1"/>
    </xf>
    <xf numFmtId="0" fontId="13" fillId="18" borderId="15" xfId="57" applyFont="1" applyFill="1" applyBorder="1" applyAlignment="1">
      <alignment horizontal="center" vertical="center" wrapText="1"/>
    </xf>
    <xf numFmtId="0" fontId="13" fillId="18" borderId="13" xfId="57" applyFont="1" applyFill="1" applyBorder="1" applyAlignment="1">
      <alignment horizontal="center" vertical="center" wrapText="1"/>
    </xf>
    <xf numFmtId="168" fontId="13" fillId="0" borderId="9" xfId="0" applyNumberFormat="1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justify" vertical="top" wrapText="1"/>
    </xf>
    <xf numFmtId="49" fontId="13" fillId="0" borderId="9" xfId="0" applyNumberFormat="1" applyFont="1" applyFill="1" applyBorder="1" applyAlignment="1">
      <alignment horizontal="center" vertical="center" wrapText="1"/>
    </xf>
    <xf numFmtId="0" fontId="13" fillId="0" borderId="0" xfId="54" applyNumberFormat="1" applyFont="1" applyFill="1" applyAlignment="1" applyProtection="1">
      <alignment horizontal="left" vertical="top"/>
    </xf>
    <xf numFmtId="169" fontId="22" fillId="18" borderId="9" xfId="47" applyNumberFormat="1" applyFont="1" applyFill="1" applyBorder="1" applyAlignment="1">
      <alignment vertical="center"/>
    </xf>
    <xf numFmtId="1" fontId="13" fillId="25" borderId="9" xfId="47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0" fontId="77" fillId="0" borderId="0" xfId="0" applyFont="1" applyAlignment="1">
      <alignment wrapText="1"/>
    </xf>
    <xf numFmtId="1" fontId="77" fillId="0" borderId="0" xfId="0" applyNumberFormat="1" applyFont="1"/>
    <xf numFmtId="0" fontId="22" fillId="0" borderId="0" xfId="0" applyFont="1"/>
    <xf numFmtId="0" fontId="21" fillId="18" borderId="0" xfId="54" applyFont="1" applyFill="1"/>
    <xf numFmtId="0" fontId="4" fillId="0" borderId="0" xfId="0" applyFont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9" fontId="22" fillId="0" borderId="9" xfId="0" applyNumberFormat="1" applyFont="1" applyBorder="1" applyAlignment="1">
      <alignment horizontal="center" vertical="center"/>
    </xf>
    <xf numFmtId="49" fontId="69" fillId="0" borderId="9" xfId="0" applyNumberFormat="1" applyFont="1" applyBorder="1" applyAlignment="1">
      <alignment horizontal="center" vertical="center"/>
    </xf>
    <xf numFmtId="0" fontId="67" fillId="26" borderId="9" xfId="0" applyFont="1" applyFill="1" applyBorder="1"/>
    <xf numFmtId="0" fontId="6" fillId="26" borderId="9" xfId="0" applyFont="1" applyFill="1" applyBorder="1"/>
    <xf numFmtId="0" fontId="6" fillId="26" borderId="30" xfId="0" applyFont="1" applyFill="1" applyBorder="1"/>
    <xf numFmtId="0" fontId="66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7" fillId="0" borderId="14" xfId="0" applyFont="1" applyBorder="1" applyAlignment="1">
      <alignment horizontal="center" vertical="center"/>
    </xf>
    <xf numFmtId="0" fontId="67" fillId="0" borderId="13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1" fontId="42" fillId="0" borderId="36" xfId="0" applyNumberFormat="1" applyFont="1" applyFill="1" applyBorder="1" applyAlignment="1">
      <alignment horizontal="center" vertical="center" wrapText="1"/>
    </xf>
    <xf numFmtId="1" fontId="67" fillId="0" borderId="37" xfId="0" applyNumberFormat="1" applyFont="1" applyFill="1" applyBorder="1" applyAlignment="1">
      <alignment horizontal="center" vertical="center" wrapText="1"/>
    </xf>
    <xf numFmtId="1" fontId="67" fillId="0" borderId="26" xfId="0" applyNumberFormat="1" applyFont="1" applyFill="1" applyBorder="1" applyAlignment="1">
      <alignment horizontal="center" vertical="center" wrapText="1"/>
    </xf>
    <xf numFmtId="1" fontId="42" fillId="0" borderId="36" xfId="0" applyNumberFormat="1" applyFont="1" applyBorder="1" applyAlignment="1">
      <alignment horizontal="center" vertical="center"/>
    </xf>
    <xf numFmtId="1" fontId="67" fillId="0" borderId="37" xfId="0" applyNumberFormat="1" applyFont="1" applyBorder="1" applyAlignment="1">
      <alignment horizontal="center" vertical="center"/>
    </xf>
    <xf numFmtId="1" fontId="67" fillId="0" borderId="26" xfId="0" applyNumberFormat="1" applyFont="1" applyBorder="1" applyAlignment="1">
      <alignment horizontal="center" vertical="center"/>
    </xf>
    <xf numFmtId="1" fontId="42" fillId="0" borderId="37" xfId="0" applyNumberFormat="1" applyFont="1" applyBorder="1" applyAlignment="1">
      <alignment horizontal="center" vertical="center"/>
    </xf>
    <xf numFmtId="0" fontId="18" fillId="18" borderId="14" xfId="54" applyNumberFormat="1" applyFont="1" applyFill="1" applyBorder="1" applyAlignment="1" applyProtection="1">
      <alignment horizontal="center" vertical="center" wrapText="1"/>
    </xf>
    <xf numFmtId="0" fontId="17" fillId="18" borderId="13" xfId="57" applyFill="1" applyBorder="1" applyAlignment="1">
      <alignment horizontal="center" vertical="center" wrapText="1"/>
    </xf>
    <xf numFmtId="0" fontId="21" fillId="18" borderId="14" xfId="57" applyFont="1" applyFill="1" applyBorder="1" applyAlignment="1">
      <alignment horizontal="center" vertical="center" wrapText="1"/>
    </xf>
    <xf numFmtId="0" fontId="21" fillId="18" borderId="15" xfId="57" applyFont="1" applyFill="1" applyBorder="1" applyAlignment="1">
      <alignment horizontal="center" vertical="center" wrapText="1"/>
    </xf>
    <xf numFmtId="0" fontId="21" fillId="18" borderId="13" xfId="57" applyFont="1" applyFill="1" applyBorder="1" applyAlignment="1">
      <alignment horizontal="center" vertical="center" wrapText="1"/>
    </xf>
    <xf numFmtId="0" fontId="18" fillId="18" borderId="9" xfId="54" applyNumberFormat="1" applyFont="1" applyFill="1" applyBorder="1" applyAlignment="1" applyProtection="1">
      <alignment horizontal="center" vertical="center" wrapText="1"/>
    </xf>
    <xf numFmtId="0" fontId="12" fillId="18" borderId="9" xfId="54" applyNumberFormat="1" applyFont="1" applyFill="1" applyBorder="1" applyAlignment="1" applyProtection="1">
      <alignment horizontal="center" vertical="center" wrapText="1"/>
    </xf>
    <xf numFmtId="0" fontId="17" fillId="0" borderId="13" xfId="57" applyBorder="1" applyAlignment="1">
      <alignment horizontal="center" vertical="center" wrapText="1"/>
    </xf>
    <xf numFmtId="0" fontId="13" fillId="0" borderId="0" xfId="54" applyNumberFormat="1" applyFont="1" applyFill="1" applyAlignment="1" applyProtection="1">
      <alignment horizontal="left" vertical="top"/>
    </xf>
    <xf numFmtId="0" fontId="15" fillId="0" borderId="0" xfId="54" applyNumberFormat="1" applyFont="1" applyFill="1" applyBorder="1" applyAlignment="1" applyProtection="1">
      <alignment horizontal="center" vertical="top" wrapText="1"/>
    </xf>
    <xf numFmtId="0" fontId="14" fillId="18" borderId="14" xfId="54" applyNumberFormat="1" applyFont="1" applyFill="1" applyBorder="1" applyAlignment="1" applyProtection="1">
      <alignment horizontal="center" vertical="center" wrapText="1"/>
    </xf>
    <xf numFmtId="0" fontId="14" fillId="18" borderId="15" xfId="54" applyNumberFormat="1" applyFont="1" applyFill="1" applyBorder="1" applyAlignment="1" applyProtection="1">
      <alignment horizontal="center" vertical="center" wrapText="1"/>
    </xf>
    <xf numFmtId="0" fontId="14" fillId="18" borderId="13" xfId="54" applyNumberFormat="1" applyFont="1" applyFill="1" applyBorder="1" applyAlignment="1" applyProtection="1">
      <alignment horizontal="center" vertical="center" wrapText="1"/>
    </xf>
    <xf numFmtId="0" fontId="17" fillId="0" borderId="15" xfId="57" applyBorder="1" applyAlignment="1">
      <alignment horizontal="center" vertical="center" wrapText="1"/>
    </xf>
    <xf numFmtId="0" fontId="12" fillId="18" borderId="14" xfId="54" applyNumberFormat="1" applyFont="1" applyFill="1" applyBorder="1" applyAlignment="1" applyProtection="1">
      <alignment horizontal="center" vertical="center" wrapText="1"/>
    </xf>
    <xf numFmtId="0" fontId="12" fillId="18" borderId="15" xfId="54" applyNumberFormat="1" applyFont="1" applyFill="1" applyBorder="1" applyAlignment="1" applyProtection="1">
      <alignment horizontal="center" vertical="center" wrapText="1"/>
    </xf>
    <xf numFmtId="0" fontId="12" fillId="18" borderId="13" xfId="54" applyNumberFormat="1" applyFont="1" applyFill="1" applyBorder="1" applyAlignment="1" applyProtection="1">
      <alignment horizontal="center" vertical="center" wrapText="1"/>
    </xf>
    <xf numFmtId="0" fontId="13" fillId="18" borderId="9" xfId="54" applyNumberFormat="1" applyFont="1" applyFill="1" applyBorder="1" applyAlignment="1" applyProtection="1">
      <alignment horizontal="center" vertical="center" wrapText="1"/>
    </xf>
    <xf numFmtId="0" fontId="40" fillId="18" borderId="9" xfId="54" applyNumberFormat="1" applyFont="1" applyFill="1" applyBorder="1" applyAlignment="1" applyProtection="1">
      <alignment horizontal="center" vertical="center" wrapText="1"/>
    </xf>
    <xf numFmtId="0" fontId="40" fillId="18" borderId="14" xfId="54" applyNumberFormat="1" applyFont="1" applyFill="1" applyBorder="1" applyAlignment="1" applyProtection="1">
      <alignment horizontal="center" vertical="center" wrapText="1"/>
    </xf>
    <xf numFmtId="0" fontId="62" fillId="19" borderId="9" xfId="54" applyNumberFormat="1" applyFont="1" applyFill="1" applyBorder="1" applyAlignment="1" applyProtection="1">
      <alignment horizontal="center" vertical="center" wrapText="1"/>
    </xf>
    <xf numFmtId="0" fontId="62" fillId="19" borderId="14" xfId="54" applyNumberFormat="1" applyFont="1" applyFill="1" applyBorder="1" applyAlignment="1" applyProtection="1">
      <alignment horizontal="center" vertical="center" wrapText="1"/>
    </xf>
    <xf numFmtId="0" fontId="41" fillId="0" borderId="15" xfId="57" applyFont="1" applyBorder="1" applyAlignment="1">
      <alignment horizontal="center" vertical="center" wrapText="1"/>
    </xf>
    <xf numFmtId="0" fontId="38" fillId="18" borderId="24" xfId="54" applyNumberFormat="1" applyFont="1" applyFill="1" applyBorder="1" applyAlignment="1" applyProtection="1">
      <alignment horizontal="center" vertical="center" wrapText="1"/>
    </xf>
    <xf numFmtId="0" fontId="38" fillId="18" borderId="9" xfId="54" applyNumberFormat="1" applyFont="1" applyFill="1" applyBorder="1" applyAlignment="1" applyProtection="1">
      <alignment horizontal="center" vertical="center" wrapText="1"/>
    </xf>
    <xf numFmtId="0" fontId="38" fillId="18" borderId="14" xfId="54" applyNumberFormat="1" applyFont="1" applyFill="1" applyBorder="1" applyAlignment="1" applyProtection="1">
      <alignment horizontal="center" vertical="center" wrapText="1"/>
    </xf>
    <xf numFmtId="0" fontId="13" fillId="0" borderId="0" xfId="56" applyFont="1" applyAlignment="1">
      <alignment horizontal="left"/>
    </xf>
    <xf numFmtId="0" fontId="14" fillId="18" borderId="45" xfId="54" applyNumberFormat="1" applyFont="1" applyFill="1" applyBorder="1" applyAlignment="1" applyProtection="1">
      <alignment horizontal="center" vertical="center" wrapText="1"/>
    </xf>
    <xf numFmtId="0" fontId="14" fillId="18" borderId="46" xfId="54" applyNumberFormat="1" applyFont="1" applyFill="1" applyBorder="1" applyAlignment="1" applyProtection="1">
      <alignment horizontal="center" vertical="center" wrapText="1"/>
    </xf>
    <xf numFmtId="0" fontId="14" fillId="18" borderId="47" xfId="54" applyNumberFormat="1" applyFont="1" applyFill="1" applyBorder="1" applyAlignment="1" applyProtection="1">
      <alignment horizontal="center" vertical="center" wrapText="1"/>
    </xf>
    <xf numFmtId="0" fontId="39" fillId="0" borderId="15" xfId="57" applyFont="1" applyBorder="1" applyAlignment="1">
      <alignment horizontal="center" vertical="center" wrapText="1"/>
    </xf>
    <xf numFmtId="0" fontId="40" fillId="18" borderId="30" xfId="54" applyNumberFormat="1" applyFont="1" applyFill="1" applyBorder="1" applyAlignment="1" applyProtection="1">
      <alignment horizontal="center" vertical="center" wrapText="1"/>
    </xf>
    <xf numFmtId="0" fontId="40" fillId="18" borderId="44" xfId="54" applyNumberFormat="1" applyFont="1" applyFill="1" applyBorder="1" applyAlignment="1" applyProtection="1">
      <alignment horizontal="center" vertical="center" wrapText="1"/>
    </xf>
    <xf numFmtId="0" fontId="41" fillId="0" borderId="7" xfId="57" applyFont="1" applyBorder="1" applyAlignment="1">
      <alignment horizontal="center" vertical="center" wrapText="1"/>
    </xf>
    <xf numFmtId="0" fontId="38" fillId="18" borderId="47" xfId="54" applyNumberFormat="1" applyFont="1" applyFill="1" applyBorder="1" applyAlignment="1" applyProtection="1">
      <alignment horizontal="center" vertical="center" wrapText="1"/>
    </xf>
    <xf numFmtId="0" fontId="38" fillId="18" borderId="15" xfId="54" applyNumberFormat="1" applyFont="1" applyFill="1" applyBorder="1" applyAlignment="1" applyProtection="1">
      <alignment horizontal="center" vertical="center" wrapText="1"/>
    </xf>
    <xf numFmtId="0" fontId="38" fillId="18" borderId="48" xfId="54" applyNumberFormat="1" applyFont="1" applyFill="1" applyBorder="1" applyAlignment="1" applyProtection="1">
      <alignment horizontal="center" vertical="center" wrapText="1"/>
    </xf>
    <xf numFmtId="0" fontId="38" fillId="18" borderId="49" xfId="54" applyNumberFormat="1" applyFont="1" applyFill="1" applyBorder="1" applyAlignment="1" applyProtection="1">
      <alignment horizontal="center" vertical="center" wrapText="1"/>
    </xf>
    <xf numFmtId="1" fontId="13" fillId="0" borderId="0" xfId="54" applyNumberFormat="1" applyFont="1" applyFill="1"/>
    <xf numFmtId="1" fontId="42" fillId="0" borderId="9" xfId="47" applyNumberFormat="1" applyFont="1" applyFill="1" applyBorder="1" applyAlignment="1">
      <alignment horizontal="center" vertical="center"/>
    </xf>
    <xf numFmtId="1" fontId="42" fillId="25" borderId="9" xfId="47" applyNumberFormat="1" applyFont="1" applyFill="1" applyBorder="1" applyAlignment="1">
      <alignment horizontal="center" vertical="center"/>
    </xf>
    <xf numFmtId="2" fontId="6" fillId="25" borderId="9" xfId="47" applyNumberFormat="1" applyFont="1" applyFill="1" applyBorder="1" applyAlignment="1">
      <alignment horizontal="center" vertical="center"/>
    </xf>
    <xf numFmtId="2" fontId="76" fillId="25" borderId="9" xfId="0" applyNumberFormat="1" applyFont="1" applyFill="1" applyBorder="1" applyAlignment="1">
      <alignment horizontal="center" vertical="center"/>
    </xf>
    <xf numFmtId="1" fontId="13" fillId="30" borderId="9" xfId="47" applyNumberFormat="1" applyFont="1" applyFill="1" applyBorder="1" applyAlignment="1">
      <alignment horizontal="center" vertical="center"/>
    </xf>
    <xf numFmtId="1" fontId="6" fillId="30" borderId="9" xfId="47" applyNumberFormat="1" applyFont="1" applyFill="1" applyBorder="1" applyAlignment="1">
      <alignment horizontal="center" vertical="center"/>
    </xf>
    <xf numFmtId="1" fontId="42" fillId="30" borderId="9" xfId="47" applyNumberFormat="1" applyFont="1" applyFill="1" applyBorder="1" applyAlignment="1">
      <alignment horizontal="center" vertical="center"/>
    </xf>
    <xf numFmtId="1" fontId="6" fillId="30" borderId="9" xfId="56" applyNumberFormat="1" applyFont="1" applyFill="1" applyBorder="1" applyAlignment="1">
      <alignment horizontal="center" vertical="center"/>
    </xf>
    <xf numFmtId="0" fontId="42" fillId="30" borderId="9" xfId="56" applyFont="1" applyFill="1" applyBorder="1" applyAlignment="1">
      <alignment horizontal="center" vertical="center"/>
    </xf>
    <xf numFmtId="0" fontId="6" fillId="30" borderId="9" xfId="56" applyFont="1" applyFill="1" applyBorder="1" applyAlignment="1">
      <alignment horizontal="center" vertical="center"/>
    </xf>
    <xf numFmtId="1" fontId="35" fillId="30" borderId="9" xfId="47" applyNumberFormat="1" applyFont="1" applyFill="1" applyBorder="1" applyAlignment="1">
      <alignment horizontal="center" vertical="center"/>
    </xf>
    <xf numFmtId="1" fontId="42" fillId="25" borderId="9" xfId="54" applyNumberFormat="1" applyFont="1" applyFill="1" applyBorder="1" applyAlignment="1">
      <alignment horizontal="center" vertical="center"/>
    </xf>
    <xf numFmtId="0" fontId="13" fillId="25" borderId="0" xfId="54" applyFont="1" applyFill="1"/>
    <xf numFmtId="1" fontId="78" fillId="0" borderId="0" xfId="0" applyNumberFormat="1" applyFont="1"/>
    <xf numFmtId="0" fontId="78" fillId="0" borderId="0" xfId="0" applyFont="1"/>
    <xf numFmtId="167" fontId="78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wrapText="1"/>
    </xf>
    <xf numFmtId="1" fontId="57" fillId="0" borderId="0" xfId="0" applyNumberFormat="1" applyFont="1" applyFill="1"/>
  </cellXfs>
  <cellStyles count="73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ичайний 10" xfId="28"/>
    <cellStyle name="Звичайний 11" xfId="29"/>
    <cellStyle name="Звичайний 12" xfId="30"/>
    <cellStyle name="Звичайний 13" xfId="31"/>
    <cellStyle name="Звичайний 14" xfId="32"/>
    <cellStyle name="Звичайний 15" xfId="33"/>
    <cellStyle name="Звичайний 16" xfId="34"/>
    <cellStyle name="Звичайний 17" xfId="35"/>
    <cellStyle name="Звичайний 18" xfId="36"/>
    <cellStyle name="Звичайний 19" xfId="37"/>
    <cellStyle name="Звичайний 2" xfId="38"/>
    <cellStyle name="Звичайний 20" xfId="39"/>
    <cellStyle name="Звичайний 3" xfId="40"/>
    <cellStyle name="Звичайний 4" xfId="41"/>
    <cellStyle name="Звичайний 5" xfId="42"/>
    <cellStyle name="Звичайний 6" xfId="43"/>
    <cellStyle name="Звичайний 7" xfId="44"/>
    <cellStyle name="Звичайний 8" xfId="45"/>
    <cellStyle name="Звичайний 9" xfId="46"/>
    <cellStyle name="Звичайний_Додаток _ 3 зм_ни 4575" xfId="47"/>
    <cellStyle name="Зв'язана клітинка" xfId="48"/>
    <cellStyle name="Контрольна клітинка" xfId="49"/>
    <cellStyle name="Назва" xfId="50"/>
    <cellStyle name="Обчислення" xfId="51"/>
    <cellStyle name="Обычный" xfId="0" builtinId="0"/>
    <cellStyle name="Обычный 10" xfId="52"/>
    <cellStyle name="Обычный 2" xfId="53"/>
    <cellStyle name="Обычный 2 2" xfId="54"/>
    <cellStyle name="Обычный 2_Дод до ріш.№ 1182 Про внесення змін у міський бюджет на 2019 рік" xfId="55"/>
    <cellStyle name="Обычный 3" xfId="56"/>
    <cellStyle name="Обычный 4" xfId="57"/>
    <cellStyle name="Обычный 5" xfId="58"/>
    <cellStyle name="Обычный 6" xfId="59"/>
    <cellStyle name="Обычный 7" xfId="60"/>
    <cellStyle name="Обычный 8" xfId="61"/>
    <cellStyle name="Обычный 9" xfId="62"/>
    <cellStyle name="Підсумок" xfId="63"/>
    <cellStyle name="Поганий" xfId="64"/>
    <cellStyle name="Примітка" xfId="65"/>
    <cellStyle name="Процентный (0)" xfId="66"/>
    <cellStyle name="Результат" xfId="67"/>
    <cellStyle name="Середній" xfId="68"/>
    <cellStyle name="Стиль 1" xfId="69"/>
    <cellStyle name="Текст попередження" xfId="70"/>
    <cellStyle name="Текст пояснення" xfId="71"/>
    <cellStyle name="Целое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4;&#1086;&#1076;&#1072;&#1090;&#1082;&#1080;%20&#1076;&#1086;%20&#1055;&#1056;&#1054;&#1028;&#1050;&#1058;&#1059;%20&#1088;&#1110;&#1096;.&#8470;%20%20&#1055;&#1088;&#1086;%20&#1073;&#1102;&#1076;&#1078;&#1077;&#1090;%20&#1053;&#1086;&#1074;&#1086;&#1091;&#1082;&#1088;&#1072;&#1111;&#1085;&#1089;&#1100;&#1082;&#1086;&#1111;%20&#1054;&#1058;&#1043;%20&#1085;&#1072;%202020%20&#1088;&#1110;&#1082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 "/>
      <sheetName val="дод 4 тип.форма "/>
      <sheetName val="прод дод 4 "/>
      <sheetName val="дод 5 "/>
      <sheetName val="дод 6"/>
      <sheetName val="2020"/>
      <sheetName val="Лист1"/>
    </sheetNames>
    <sheetDataSet>
      <sheetData sheetId="0">
        <row r="90">
          <cell r="C90">
            <v>145155912</v>
          </cell>
          <cell r="D90">
            <v>143537915</v>
          </cell>
          <cell r="E90">
            <v>1617997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topLeftCell="B19" zoomScaleNormal="100" zoomScaleSheetLayoutView="100" workbookViewId="0">
      <selection activeCell="F34" sqref="F34"/>
    </sheetView>
  </sheetViews>
  <sheetFormatPr defaultRowHeight="12.75" x14ac:dyDescent="0.2"/>
  <cols>
    <col min="1" max="1" width="9.140625" style="6"/>
    <col min="2" max="2" width="46" style="6" customWidth="1"/>
    <col min="3" max="3" width="15.42578125" style="6" customWidth="1"/>
    <col min="4" max="4" width="14.42578125" style="6" customWidth="1"/>
    <col min="5" max="5" width="15.140625" style="6" customWidth="1"/>
    <col min="6" max="6" width="14.28515625" style="6" customWidth="1"/>
    <col min="7" max="16384" width="9.140625" style="6"/>
  </cols>
  <sheetData>
    <row r="1" spans="1:12" ht="15.75" x14ac:dyDescent="0.25">
      <c r="D1" s="7" t="s">
        <v>1</v>
      </c>
    </row>
    <row r="2" spans="1:12" ht="15.75" x14ac:dyDescent="0.25">
      <c r="D2" s="256" t="s">
        <v>435</v>
      </c>
      <c r="E2" s="4"/>
      <c r="F2" s="4"/>
      <c r="G2" s="4"/>
    </row>
    <row r="3" spans="1:12" ht="15.75" x14ac:dyDescent="0.25">
      <c r="D3" s="256" t="s">
        <v>436</v>
      </c>
      <c r="E3" s="4"/>
      <c r="F3" s="4"/>
      <c r="G3" s="4"/>
    </row>
    <row r="4" spans="1:12" ht="15.75" x14ac:dyDescent="0.25">
      <c r="D4" s="256" t="s">
        <v>438</v>
      </c>
      <c r="E4" s="4"/>
      <c r="F4" s="4"/>
      <c r="G4" s="4"/>
    </row>
    <row r="5" spans="1:12" s="8" customFormat="1" ht="51.75" customHeight="1" x14ac:dyDescent="0.3">
      <c r="B5" s="424" t="s">
        <v>440</v>
      </c>
      <c r="C5" s="424"/>
      <c r="D5" s="424"/>
      <c r="E5" s="424"/>
      <c r="F5" s="424"/>
    </row>
    <row r="6" spans="1:12" ht="18.75" x14ac:dyDescent="0.3">
      <c r="A6" s="7"/>
      <c r="B6" s="2">
        <v>11503000000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.75" x14ac:dyDescent="0.25">
      <c r="A7" s="7"/>
      <c r="B7" s="1" t="s">
        <v>2</v>
      </c>
      <c r="C7" s="7"/>
      <c r="D7" s="7"/>
      <c r="E7" s="7"/>
      <c r="F7" s="5" t="s">
        <v>6</v>
      </c>
      <c r="G7" s="7"/>
      <c r="H7" s="7"/>
      <c r="J7" s="7"/>
      <c r="K7" s="7"/>
      <c r="L7" s="7"/>
    </row>
    <row r="8" spans="1:12" s="9" customFormat="1" ht="38.25" customHeight="1" x14ac:dyDescent="0.2">
      <c r="B8" s="10" t="s">
        <v>7</v>
      </c>
      <c r="C8" s="10" t="s">
        <v>406</v>
      </c>
      <c r="D8" s="10" t="s">
        <v>407</v>
      </c>
      <c r="E8" s="10" t="s">
        <v>3</v>
      </c>
      <c r="F8" s="10" t="s">
        <v>408</v>
      </c>
    </row>
    <row r="9" spans="1:12" s="8" customFormat="1" ht="18.75" x14ac:dyDescent="0.3">
      <c r="B9" s="425" t="s">
        <v>4</v>
      </c>
      <c r="C9" s="426"/>
      <c r="D9" s="426"/>
      <c r="E9" s="426"/>
      <c r="F9" s="427"/>
    </row>
    <row r="10" spans="1:12" ht="20.100000000000001" customHeight="1" x14ac:dyDescent="0.25">
      <c r="A10" s="7"/>
      <c r="B10" s="3" t="s">
        <v>8</v>
      </c>
      <c r="C10" s="417">
        <v>145725546</v>
      </c>
      <c r="D10" s="417">
        <v>144027605</v>
      </c>
      <c r="E10" s="417">
        <v>151655872</v>
      </c>
      <c r="F10" s="417">
        <v>158749309</v>
      </c>
      <c r="G10" s="7"/>
      <c r="H10" s="7"/>
      <c r="I10" s="7"/>
      <c r="J10" s="7"/>
      <c r="K10" s="7"/>
      <c r="L10" s="7"/>
    </row>
    <row r="11" spans="1:12" ht="20.100000000000001" customHeight="1" x14ac:dyDescent="0.25">
      <c r="A11" s="7"/>
      <c r="B11" s="3" t="s">
        <v>9</v>
      </c>
      <c r="C11" s="418">
        <f>'дод 3 '!G90</f>
        <v>146345732.93000001</v>
      </c>
      <c r="D11" s="418">
        <f>'дод 3 '!K90</f>
        <v>144027605</v>
      </c>
      <c r="E11" s="417">
        <v>151655872</v>
      </c>
      <c r="F11" s="417">
        <v>158749309</v>
      </c>
      <c r="G11" s="7"/>
      <c r="H11" s="7"/>
      <c r="I11" s="7"/>
      <c r="J11" s="7"/>
      <c r="K11" s="7"/>
      <c r="L11" s="7"/>
    </row>
    <row r="12" spans="1:12" ht="20.100000000000001" customHeight="1" x14ac:dyDescent="0.25">
      <c r="A12" s="7"/>
      <c r="B12" s="3" t="s">
        <v>10</v>
      </c>
      <c r="C12" s="417"/>
      <c r="D12" s="418"/>
      <c r="E12" s="417"/>
      <c r="F12" s="417"/>
      <c r="G12" s="7"/>
      <c r="H12" s="7"/>
      <c r="I12" s="7"/>
      <c r="J12" s="7"/>
      <c r="K12" s="7"/>
      <c r="L12" s="7"/>
    </row>
    <row r="13" spans="1:12" ht="20.100000000000001" customHeight="1" x14ac:dyDescent="0.25">
      <c r="A13" s="7"/>
      <c r="B13" s="11" t="s">
        <v>11</v>
      </c>
      <c r="C13" s="417"/>
      <c r="D13" s="417"/>
      <c r="E13" s="417"/>
      <c r="F13" s="417"/>
      <c r="G13" s="7"/>
      <c r="H13" s="7"/>
      <c r="I13" s="7"/>
      <c r="J13" s="7"/>
      <c r="K13" s="7"/>
      <c r="L13" s="7"/>
    </row>
    <row r="14" spans="1:12" ht="20.100000000000001" customHeight="1" x14ac:dyDescent="0.25">
      <c r="A14" s="7"/>
      <c r="B14" s="11" t="s">
        <v>12</v>
      </c>
      <c r="C14" s="417"/>
      <c r="D14" s="417"/>
      <c r="E14" s="417"/>
      <c r="F14" s="417"/>
      <c r="G14" s="7"/>
      <c r="H14" s="7"/>
      <c r="I14" s="7"/>
      <c r="J14" s="7"/>
      <c r="K14" s="7"/>
      <c r="L14" s="7"/>
    </row>
    <row r="15" spans="1:12" ht="20.100000000000001" customHeight="1" x14ac:dyDescent="0.25">
      <c r="A15" s="7"/>
      <c r="B15" s="3" t="s">
        <v>13</v>
      </c>
      <c r="C15" s="419">
        <f>C10-C11</f>
        <v>-620186.93000000715</v>
      </c>
      <c r="D15" s="418">
        <f>D11-D10</f>
        <v>0</v>
      </c>
      <c r="E15" s="418">
        <f>E11-E10</f>
        <v>0</v>
      </c>
      <c r="F15" s="418">
        <f>F11-F10</f>
        <v>0</v>
      </c>
      <c r="G15" s="7"/>
      <c r="H15" s="7"/>
      <c r="I15" s="7"/>
      <c r="J15" s="7"/>
      <c r="K15" s="7"/>
      <c r="L15" s="7"/>
    </row>
    <row r="16" spans="1:12" s="8" customFormat="1" ht="20.100000000000001" customHeight="1" x14ac:dyDescent="0.3">
      <c r="B16" s="425" t="s">
        <v>5</v>
      </c>
      <c r="C16" s="426"/>
      <c r="D16" s="426"/>
      <c r="E16" s="426"/>
      <c r="F16" s="427"/>
    </row>
    <row r="17" spans="1:12" ht="20.100000000000001" customHeight="1" x14ac:dyDescent="0.25">
      <c r="A17" s="7"/>
      <c r="B17" s="3" t="s">
        <v>8</v>
      </c>
      <c r="C17" s="417">
        <v>8389200</v>
      </c>
      <c r="D17" s="417">
        <v>1651893</v>
      </c>
      <c r="E17" s="417">
        <v>1660500</v>
      </c>
      <c r="F17" s="417">
        <v>1770200</v>
      </c>
      <c r="G17" s="7"/>
      <c r="H17" s="7"/>
      <c r="I17" s="7"/>
      <c r="J17" s="7"/>
      <c r="K17" s="7"/>
      <c r="L17" s="7"/>
    </row>
    <row r="18" spans="1:12" ht="20.100000000000001" customHeight="1" x14ac:dyDescent="0.25">
      <c r="A18" s="7"/>
      <c r="B18" s="3" t="s">
        <v>9</v>
      </c>
      <c r="C18" s="418">
        <f>'дод 3 '!H90</f>
        <v>21434826.560000002</v>
      </c>
      <c r="D18" s="418">
        <f>'дод 3 '!L90</f>
        <v>1651893</v>
      </c>
      <c r="E18" s="417">
        <v>1660500</v>
      </c>
      <c r="F18" s="417">
        <v>1770200</v>
      </c>
      <c r="G18" s="7"/>
      <c r="H18" s="7"/>
      <c r="I18" s="7"/>
      <c r="J18" s="7"/>
      <c r="K18" s="7"/>
      <c r="L18" s="7"/>
    </row>
    <row r="19" spans="1:12" ht="20.100000000000001" customHeight="1" x14ac:dyDescent="0.25">
      <c r="A19" s="7"/>
      <c r="B19" s="3" t="s">
        <v>10</v>
      </c>
      <c r="C19" s="417"/>
      <c r="D19" s="417"/>
      <c r="E19" s="417"/>
      <c r="F19" s="417"/>
      <c r="G19" s="7"/>
      <c r="H19" s="7"/>
      <c r="I19" s="7"/>
      <c r="J19" s="7"/>
      <c r="K19" s="7"/>
      <c r="L19" s="7"/>
    </row>
    <row r="20" spans="1:12" ht="20.100000000000001" customHeight="1" x14ac:dyDescent="0.25">
      <c r="A20" s="7"/>
      <c r="B20" s="11" t="s">
        <v>11</v>
      </c>
      <c r="C20" s="417"/>
      <c r="D20" s="417"/>
      <c r="E20" s="417"/>
      <c r="F20" s="417"/>
      <c r="G20" s="7"/>
      <c r="H20" s="7"/>
      <c r="I20" s="7"/>
      <c r="J20" s="7"/>
      <c r="K20" s="7"/>
      <c r="L20" s="7"/>
    </row>
    <row r="21" spans="1:12" ht="20.100000000000001" customHeight="1" x14ac:dyDescent="0.25">
      <c r="A21" s="7"/>
      <c r="B21" s="11" t="s">
        <v>12</v>
      </c>
      <c r="C21" s="417"/>
      <c r="D21" s="417"/>
      <c r="E21" s="417"/>
      <c r="F21" s="417"/>
      <c r="G21" s="7"/>
      <c r="H21" s="7"/>
      <c r="I21" s="7"/>
      <c r="J21" s="7"/>
      <c r="K21" s="7"/>
      <c r="L21" s="7"/>
    </row>
    <row r="22" spans="1:12" ht="20.100000000000001" customHeight="1" x14ac:dyDescent="0.25">
      <c r="A22" s="7"/>
      <c r="B22" s="3" t="s">
        <v>13</v>
      </c>
      <c r="C22" s="419">
        <f>C17-C18</f>
        <v>-13045626.560000002</v>
      </c>
      <c r="D22" s="418">
        <f>D18-D17</f>
        <v>0</v>
      </c>
      <c r="E22" s="418">
        <f>E18-E17</f>
        <v>0</v>
      </c>
      <c r="F22" s="418">
        <f>F18-F17</f>
        <v>0</v>
      </c>
      <c r="G22" s="7"/>
      <c r="H22" s="7"/>
      <c r="I22" s="7"/>
      <c r="J22" s="7"/>
      <c r="K22" s="7"/>
      <c r="L22" s="7"/>
    </row>
    <row r="23" spans="1:12" s="8" customFormat="1" ht="20.100000000000001" customHeight="1" x14ac:dyDescent="0.3">
      <c r="B23" s="428" t="s">
        <v>14</v>
      </c>
      <c r="C23" s="429"/>
      <c r="D23" s="429"/>
      <c r="E23" s="429"/>
      <c r="F23" s="430"/>
    </row>
    <row r="24" spans="1:12" ht="20.100000000000001" customHeight="1" x14ac:dyDescent="0.25">
      <c r="A24" s="7"/>
      <c r="B24" s="3" t="s">
        <v>8</v>
      </c>
      <c r="C24" s="417">
        <f t="shared" ref="C24:F25" si="0">C10+C17</f>
        <v>154114746</v>
      </c>
      <c r="D24" s="417">
        <f t="shared" si="0"/>
        <v>145679498</v>
      </c>
      <c r="E24" s="417">
        <f t="shared" si="0"/>
        <v>153316372</v>
      </c>
      <c r="F24" s="417">
        <f t="shared" si="0"/>
        <v>160519509</v>
      </c>
      <c r="G24" s="7"/>
      <c r="H24" s="7"/>
      <c r="I24" s="7"/>
      <c r="J24" s="7"/>
      <c r="K24" s="7"/>
      <c r="L24" s="7"/>
    </row>
    <row r="25" spans="1:12" ht="20.100000000000001" customHeight="1" x14ac:dyDescent="0.25">
      <c r="A25" s="7"/>
      <c r="B25" s="3" t="s">
        <v>9</v>
      </c>
      <c r="C25" s="418">
        <f t="shared" si="0"/>
        <v>167780559.49000001</v>
      </c>
      <c r="D25" s="417">
        <f t="shared" si="0"/>
        <v>145679498</v>
      </c>
      <c r="E25" s="418">
        <f t="shared" si="0"/>
        <v>153316372</v>
      </c>
      <c r="F25" s="418">
        <f t="shared" si="0"/>
        <v>160519509</v>
      </c>
      <c r="G25" s="7"/>
      <c r="H25" s="7"/>
      <c r="I25" s="7"/>
      <c r="J25" s="7"/>
      <c r="K25" s="7"/>
      <c r="L25" s="7"/>
    </row>
    <row r="26" spans="1:12" ht="20.100000000000001" customHeight="1" x14ac:dyDescent="0.25">
      <c r="A26" s="7"/>
      <c r="B26" s="3" t="s">
        <v>10</v>
      </c>
      <c r="C26" s="417"/>
      <c r="D26" s="417"/>
      <c r="E26" s="417"/>
      <c r="F26" s="417"/>
      <c r="G26" s="7"/>
      <c r="H26" s="7"/>
      <c r="I26" s="7"/>
      <c r="J26" s="7"/>
      <c r="K26" s="7"/>
      <c r="L26" s="7"/>
    </row>
    <row r="27" spans="1:12" ht="20.100000000000001" customHeight="1" x14ac:dyDescent="0.25">
      <c r="A27" s="7"/>
      <c r="B27" s="11" t="s">
        <v>11</v>
      </c>
      <c r="C27" s="417"/>
      <c r="D27" s="417"/>
      <c r="E27" s="417"/>
      <c r="F27" s="417"/>
      <c r="G27" s="7"/>
      <c r="H27" s="7"/>
      <c r="I27" s="7"/>
      <c r="J27" s="7"/>
      <c r="K27" s="7"/>
      <c r="L27" s="7"/>
    </row>
    <row r="28" spans="1:12" ht="20.100000000000001" customHeight="1" x14ac:dyDescent="0.25">
      <c r="A28" s="7"/>
      <c r="B28" s="11" t="s">
        <v>12</v>
      </c>
      <c r="C28" s="417"/>
      <c r="D28" s="417"/>
      <c r="E28" s="417"/>
      <c r="F28" s="417"/>
      <c r="G28" s="7"/>
      <c r="H28" s="7"/>
      <c r="I28" s="7"/>
      <c r="J28" s="7"/>
      <c r="K28" s="7"/>
      <c r="L28" s="7"/>
    </row>
    <row r="29" spans="1:12" ht="20.100000000000001" customHeight="1" x14ac:dyDescent="0.25">
      <c r="A29" s="7"/>
      <c r="B29" s="3" t="s">
        <v>13</v>
      </c>
      <c r="C29" s="419">
        <f>C24-C25</f>
        <v>-13665813.49000001</v>
      </c>
      <c r="D29" s="417">
        <f>D24-D25</f>
        <v>0</v>
      </c>
      <c r="E29" s="417">
        <v>0</v>
      </c>
      <c r="F29" s="417">
        <v>0</v>
      </c>
      <c r="G29" s="7"/>
      <c r="H29" s="7"/>
      <c r="I29" s="7"/>
      <c r="J29" s="7"/>
      <c r="K29" s="7"/>
      <c r="L29" s="7"/>
    </row>
    <row r="31" spans="1:12" x14ac:dyDescent="0.2">
      <c r="B31" s="12" t="s">
        <v>15</v>
      </c>
    </row>
    <row r="32" spans="1:12" x14ac:dyDescent="0.2">
      <c r="B32" s="6" t="s">
        <v>16</v>
      </c>
    </row>
    <row r="33" spans="2:6" x14ac:dyDescent="0.2">
      <c r="B33" s="6" t="s">
        <v>17</v>
      </c>
    </row>
    <row r="34" spans="2:6" ht="39" customHeight="1" x14ac:dyDescent="0.25">
      <c r="B34" s="422" t="s">
        <v>441</v>
      </c>
      <c r="F34" s="422" t="s">
        <v>439</v>
      </c>
    </row>
  </sheetData>
  <mergeCells count="4">
    <mergeCell ref="B5:F5"/>
    <mergeCell ref="B9:F9"/>
    <mergeCell ref="B16:F16"/>
    <mergeCell ref="B23:F23"/>
  </mergeCells>
  <phoneticPr fontId="73" type="noConversion"/>
  <pageMargins left="1.1811023622047245" right="0.39370078740157483" top="0.78740157480314965" bottom="0.78740157480314965" header="0.31496062992125984" footer="0.31496062992125984"/>
  <pageSetup paperSize="9" scale="81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17"/>
  <sheetViews>
    <sheetView tabSelected="1" view="pageBreakPreview" zoomScaleNormal="100" zoomScaleSheetLayoutView="100" workbookViewId="0">
      <pane xSplit="3" topLeftCell="J1" activePane="topRight" state="frozen"/>
      <selection pane="topRight" activeCell="K113" sqref="K113"/>
    </sheetView>
  </sheetViews>
  <sheetFormatPr defaultRowHeight="15" x14ac:dyDescent="0.25"/>
  <cols>
    <col min="1" max="1" width="3.42578125" customWidth="1"/>
    <col min="2" max="2" width="13.7109375" customWidth="1"/>
    <col min="3" max="3" width="53" style="1" customWidth="1"/>
    <col min="4" max="5" width="12.85546875" style="254" customWidth="1"/>
    <col min="6" max="6" width="10.85546875" style="254" customWidth="1"/>
    <col min="7" max="7" width="12.85546875" style="255" customWidth="1"/>
    <col min="8" max="8" width="13.5703125" style="255" customWidth="1"/>
    <col min="9" max="9" width="13.7109375" style="255" customWidth="1"/>
    <col min="10" max="12" width="14.7109375" style="255" customWidth="1"/>
    <col min="13" max="14" width="16.42578125" style="255" customWidth="1"/>
    <col min="15" max="15" width="15.28515625" style="255" customWidth="1"/>
    <col min="17" max="17" width="12.42578125" style="257" bestFit="1" customWidth="1"/>
    <col min="18" max="20" width="9.140625" style="257"/>
    <col min="22" max="22" width="13.28515625" customWidth="1"/>
    <col min="23" max="24" width="11.5703125" customWidth="1"/>
  </cols>
  <sheetData>
    <row r="1" spans="1:27" ht="15.75" x14ac:dyDescent="0.25">
      <c r="A1" s="339"/>
      <c r="B1" s="339"/>
      <c r="C1" s="253"/>
      <c r="K1" s="256"/>
      <c r="L1" s="256" t="s">
        <v>282</v>
      </c>
      <c r="M1" s="256"/>
      <c r="N1" s="256"/>
      <c r="O1" s="256"/>
    </row>
    <row r="2" spans="1:27" ht="18.75" customHeight="1" x14ac:dyDescent="0.35">
      <c r="A2" s="258"/>
      <c r="B2" s="258"/>
      <c r="C2" s="258"/>
      <c r="D2" s="259"/>
      <c r="E2" s="259"/>
      <c r="F2" s="259"/>
      <c r="K2" s="256"/>
      <c r="L2" s="256" t="s">
        <v>435</v>
      </c>
      <c r="M2" s="256"/>
      <c r="N2" s="256"/>
      <c r="O2" s="256"/>
    </row>
    <row r="3" spans="1:27" ht="18.75" customHeight="1" x14ac:dyDescent="0.35">
      <c r="A3" s="258"/>
      <c r="B3" s="258"/>
      <c r="C3" s="258"/>
      <c r="D3" s="259"/>
      <c r="E3" s="259"/>
      <c r="F3" s="259"/>
      <c r="K3" s="256"/>
      <c r="L3" s="256" t="s">
        <v>436</v>
      </c>
      <c r="M3" s="256"/>
      <c r="N3" s="256"/>
      <c r="O3" s="256"/>
    </row>
    <row r="4" spans="1:27" ht="18.75" x14ac:dyDescent="0.3">
      <c r="A4" s="436"/>
      <c r="B4" s="437"/>
      <c r="C4" s="437"/>
      <c r="K4" s="256"/>
      <c r="L4" s="256" t="s">
        <v>438</v>
      </c>
      <c r="M4" s="256"/>
      <c r="N4" s="256"/>
      <c r="O4" s="256"/>
    </row>
    <row r="5" spans="1:27" ht="18.75" hidden="1" x14ac:dyDescent="0.3">
      <c r="A5" s="338"/>
      <c r="B5" s="339"/>
      <c r="C5" s="339"/>
    </row>
    <row r="6" spans="1:27" ht="18.75" x14ac:dyDescent="0.3">
      <c r="A6" s="338"/>
      <c r="B6" s="438" t="s">
        <v>399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340"/>
      <c r="O6" s="340"/>
    </row>
    <row r="7" spans="1:27" ht="18.75" hidden="1" x14ac:dyDescent="0.3">
      <c r="A7" s="338"/>
      <c r="B7" s="340"/>
      <c r="C7" s="340"/>
      <c r="D7" s="260"/>
      <c r="E7" s="260"/>
      <c r="F7" s="260"/>
      <c r="G7" s="261"/>
      <c r="H7" s="261"/>
      <c r="I7" s="261"/>
      <c r="J7" s="261"/>
      <c r="K7" s="261"/>
      <c r="L7" s="261"/>
      <c r="M7" s="261"/>
      <c r="N7" s="261"/>
      <c r="O7" s="261"/>
    </row>
    <row r="8" spans="1:27" ht="18.75" x14ac:dyDescent="0.3">
      <c r="A8" s="338"/>
      <c r="B8" s="340"/>
      <c r="C8" s="2">
        <v>11503000000</v>
      </c>
      <c r="D8" s="260"/>
      <c r="E8" s="260"/>
      <c r="F8" s="260"/>
      <c r="G8" s="261"/>
      <c r="H8" s="261"/>
      <c r="I8" s="261"/>
      <c r="J8" s="261"/>
      <c r="K8" s="261"/>
      <c r="L8" s="261"/>
      <c r="M8" s="261"/>
      <c r="N8" s="261"/>
      <c r="O8" s="261"/>
    </row>
    <row r="9" spans="1:27" ht="16.5" thickBot="1" x14ac:dyDescent="0.3">
      <c r="C9" s="1" t="s">
        <v>2</v>
      </c>
      <c r="O9" s="5" t="s">
        <v>6</v>
      </c>
    </row>
    <row r="10" spans="1:27" s="262" customFormat="1" ht="24" customHeight="1" thickBot="1" x14ac:dyDescent="0.25">
      <c r="A10" s="439"/>
      <c r="B10" s="441" t="s">
        <v>283</v>
      </c>
      <c r="C10" s="443" t="s">
        <v>284</v>
      </c>
      <c r="D10" s="445" t="s">
        <v>396</v>
      </c>
      <c r="E10" s="446"/>
      <c r="F10" s="447"/>
      <c r="G10" s="448" t="s">
        <v>397</v>
      </c>
      <c r="H10" s="449"/>
      <c r="I10" s="450"/>
      <c r="J10" s="451" t="s">
        <v>285</v>
      </c>
      <c r="K10" s="449"/>
      <c r="L10" s="450"/>
      <c r="M10" s="448" t="s">
        <v>398</v>
      </c>
      <c r="N10" s="449"/>
      <c r="O10" s="450"/>
      <c r="Q10" s="431" t="s">
        <v>286</v>
      </c>
      <c r="R10" s="432"/>
      <c r="S10" s="431" t="s">
        <v>404</v>
      </c>
      <c r="T10" s="432"/>
      <c r="U10" s="263"/>
      <c r="V10" s="391" t="s">
        <v>287</v>
      </c>
      <c r="W10" s="391" t="s">
        <v>288</v>
      </c>
      <c r="X10" s="391" t="s">
        <v>405</v>
      </c>
      <c r="Y10" s="264"/>
    </row>
    <row r="11" spans="1:27" s="262" customFormat="1" ht="42" customHeight="1" thickBot="1" x14ac:dyDescent="0.25">
      <c r="A11" s="440"/>
      <c r="B11" s="442"/>
      <c r="C11" s="444"/>
      <c r="D11" s="265" t="s">
        <v>289</v>
      </c>
      <c r="E11" s="266" t="s">
        <v>4</v>
      </c>
      <c r="F11" s="267" t="s">
        <v>290</v>
      </c>
      <c r="G11" s="265" t="s">
        <v>289</v>
      </c>
      <c r="H11" s="266" t="s">
        <v>4</v>
      </c>
      <c r="I11" s="267" t="s">
        <v>290</v>
      </c>
      <c r="J11" s="268" t="s">
        <v>289</v>
      </c>
      <c r="K11" s="269" t="s">
        <v>4</v>
      </c>
      <c r="L11" s="269" t="s">
        <v>290</v>
      </c>
      <c r="M11" s="270" t="s">
        <v>289</v>
      </c>
      <c r="N11" s="269" t="s">
        <v>4</v>
      </c>
      <c r="O11" s="269" t="s">
        <v>290</v>
      </c>
      <c r="Q11" s="271" t="s">
        <v>291</v>
      </c>
      <c r="R11" s="271" t="s">
        <v>292</v>
      </c>
      <c r="S11" s="271" t="s">
        <v>291</v>
      </c>
      <c r="T11" s="271" t="s">
        <v>292</v>
      </c>
      <c r="U11" s="263"/>
      <c r="V11" s="337" t="s">
        <v>293</v>
      </c>
      <c r="W11" s="337" t="s">
        <v>293</v>
      </c>
      <c r="X11" s="337" t="s">
        <v>293</v>
      </c>
      <c r="Y11" s="264"/>
    </row>
    <row r="12" spans="1:27" s="283" customFormat="1" ht="29.25" customHeight="1" x14ac:dyDescent="0.25">
      <c r="A12" s="272"/>
      <c r="B12" s="272">
        <v>10000000</v>
      </c>
      <c r="C12" s="273" t="s">
        <v>294</v>
      </c>
      <c r="D12" s="274">
        <f>D13+D21+D26+D32+D48</f>
        <v>97487625</v>
      </c>
      <c r="E12" s="275">
        <f>E13+E21+E26+E32+E48</f>
        <v>97413125</v>
      </c>
      <c r="F12" s="276">
        <f>F13+F21+F26+F32+F48</f>
        <v>74500</v>
      </c>
      <c r="G12" s="277">
        <f t="shared" ref="G12:O12" si="0">G13+G21+G26+G32+G48</f>
        <v>103519396.19999999</v>
      </c>
      <c r="H12" s="278">
        <f t="shared" si="0"/>
        <v>103443696.19999999</v>
      </c>
      <c r="I12" s="279">
        <f t="shared" si="0"/>
        <v>75700</v>
      </c>
      <c r="J12" s="280">
        <f t="shared" si="0"/>
        <v>107510432.00999999</v>
      </c>
      <c r="K12" s="281">
        <f t="shared" si="0"/>
        <v>107433932.00999999</v>
      </c>
      <c r="L12" s="282">
        <f t="shared" si="0"/>
        <v>76500</v>
      </c>
      <c r="M12" s="280">
        <f t="shared" si="0"/>
        <v>111737608.61049999</v>
      </c>
      <c r="N12" s="280">
        <f t="shared" si="0"/>
        <v>111660308.61049999</v>
      </c>
      <c r="O12" s="280">
        <f t="shared" si="0"/>
        <v>77300</v>
      </c>
      <c r="Q12" s="284">
        <f>K12/H12%</f>
        <v>103.85739871696504</v>
      </c>
      <c r="R12" s="284">
        <f>L12/I12%</f>
        <v>101.05680317040951</v>
      </c>
      <c r="S12" s="284">
        <f>N12/K12%</f>
        <v>103.9339308553899</v>
      </c>
      <c r="T12" s="284">
        <f>O12/L12%</f>
        <v>101.04575163398692</v>
      </c>
      <c r="U12" s="285"/>
      <c r="V12" s="286">
        <f>G12-D12</f>
        <v>6031771.1999999881</v>
      </c>
      <c r="W12" s="286">
        <f>J12-G12</f>
        <v>3991035.8100000024</v>
      </c>
      <c r="X12" s="286">
        <f>M12-J12</f>
        <v>4227176.6005000025</v>
      </c>
      <c r="Y12" s="287"/>
    </row>
    <row r="13" spans="1:27" s="283" customFormat="1" ht="40.5" customHeight="1" x14ac:dyDescent="0.25">
      <c r="A13" s="272"/>
      <c r="B13" s="272">
        <v>11000000</v>
      </c>
      <c r="C13" s="273" t="s">
        <v>295</v>
      </c>
      <c r="D13" s="274">
        <f>D14+D19</f>
        <v>54955975</v>
      </c>
      <c r="E13" s="275">
        <f>E14+E19</f>
        <v>54955975</v>
      </c>
      <c r="F13" s="276">
        <f>F14+F19</f>
        <v>0</v>
      </c>
      <c r="G13" s="277">
        <f t="shared" ref="G13:O13" si="1">G14+G19</f>
        <v>64296446.199999996</v>
      </c>
      <c r="H13" s="278">
        <f t="shared" si="1"/>
        <v>64296446.199999996</v>
      </c>
      <c r="I13" s="279">
        <f t="shared" si="1"/>
        <v>0</v>
      </c>
      <c r="J13" s="288">
        <f t="shared" si="1"/>
        <v>67510732.00999999</v>
      </c>
      <c r="K13" s="289">
        <f t="shared" si="1"/>
        <v>67510732.00999999</v>
      </c>
      <c r="L13" s="279">
        <f t="shared" si="1"/>
        <v>0</v>
      </c>
      <c r="M13" s="288">
        <f t="shared" si="1"/>
        <v>70885858.610499993</v>
      </c>
      <c r="N13" s="288">
        <f t="shared" si="1"/>
        <v>70885858.610499993</v>
      </c>
      <c r="O13" s="288">
        <f t="shared" si="1"/>
        <v>0</v>
      </c>
      <c r="Q13" s="284">
        <f>K13/H13%</f>
        <v>104.99916558374264</v>
      </c>
      <c r="R13" s="284"/>
      <c r="S13" s="284">
        <f t="shared" ref="S13:S66" si="2">N13/K13%</f>
        <v>104.99939268915061</v>
      </c>
      <c r="T13" s="284"/>
      <c r="U13" s="285"/>
      <c r="V13" s="286">
        <f t="shared" ref="V13:V76" si="3">G13-D13</f>
        <v>9340471.1999999955</v>
      </c>
      <c r="W13" s="286">
        <f t="shared" ref="W13:W76" si="4">J13-G13</f>
        <v>3214285.8099999949</v>
      </c>
      <c r="X13" s="286">
        <f t="shared" ref="X13:X76" si="5">M13-J13</f>
        <v>3375126.6005000025</v>
      </c>
      <c r="Y13" s="287"/>
    </row>
    <row r="14" spans="1:27" s="283" customFormat="1" ht="23.25" customHeight="1" x14ac:dyDescent="0.25">
      <c r="A14" s="272"/>
      <c r="B14" s="272">
        <v>11010000</v>
      </c>
      <c r="C14" s="273" t="s">
        <v>296</v>
      </c>
      <c r="D14" s="274">
        <f>D15+D16+D17+D18</f>
        <v>54943860</v>
      </c>
      <c r="E14" s="275">
        <f>E15+E16+E17+E18</f>
        <v>54943860</v>
      </c>
      <c r="F14" s="276">
        <f>F15+F16+F17+F18</f>
        <v>0</v>
      </c>
      <c r="G14" s="277">
        <f t="shared" ref="G14:O14" si="6">G15+G16+G17+G18</f>
        <v>64284316.199999996</v>
      </c>
      <c r="H14" s="278">
        <f t="shared" si="6"/>
        <v>64284316.199999996</v>
      </c>
      <c r="I14" s="279">
        <f t="shared" si="6"/>
        <v>0</v>
      </c>
      <c r="J14" s="288">
        <f t="shared" si="6"/>
        <v>67498532.00999999</v>
      </c>
      <c r="K14" s="289">
        <f t="shared" si="6"/>
        <v>67498532.00999999</v>
      </c>
      <c r="L14" s="279">
        <f t="shared" si="6"/>
        <v>0</v>
      </c>
      <c r="M14" s="288">
        <f t="shared" si="6"/>
        <v>70873458.610499993</v>
      </c>
      <c r="N14" s="288">
        <f t="shared" si="6"/>
        <v>70873458.610499993</v>
      </c>
      <c r="O14" s="288">
        <f t="shared" si="6"/>
        <v>0</v>
      </c>
      <c r="Q14" s="284">
        <f>K14/H14%</f>
        <v>104.99999999999999</v>
      </c>
      <c r="R14" s="284"/>
      <c r="S14" s="284">
        <f t="shared" si="2"/>
        <v>105</v>
      </c>
      <c r="T14" s="284"/>
      <c r="U14" s="285"/>
      <c r="V14" s="286">
        <f t="shared" si="3"/>
        <v>9340456.1999999955</v>
      </c>
      <c r="W14" s="286">
        <f t="shared" si="4"/>
        <v>3214215.8099999949</v>
      </c>
      <c r="X14" s="286">
        <f t="shared" si="5"/>
        <v>3374926.6005000025</v>
      </c>
      <c r="Y14" s="287"/>
    </row>
    <row r="15" spans="1:27" ht="51.75" customHeight="1" x14ac:dyDescent="0.25">
      <c r="A15" s="3"/>
      <c r="B15" s="3">
        <v>11010100</v>
      </c>
      <c r="C15" s="290" t="s">
        <v>297</v>
      </c>
      <c r="D15" s="291">
        <f>E15+F15</f>
        <v>44966591</v>
      </c>
      <c r="E15" s="292">
        <v>44966591</v>
      </c>
      <c r="F15" s="293"/>
      <c r="G15" s="294">
        <f>H15+I15</f>
        <v>52610911.469999999</v>
      </c>
      <c r="H15" s="295">
        <f>E15*1.17</f>
        <v>52610911.469999999</v>
      </c>
      <c r="I15" s="296"/>
      <c r="J15" s="297">
        <f>K15+L15</f>
        <v>55241457.043499999</v>
      </c>
      <c r="K15" s="295">
        <f>H15*1.05</f>
        <v>55241457.043499999</v>
      </c>
      <c r="L15" s="296"/>
      <c r="M15" s="297">
        <f>N15+O15</f>
        <v>58003529.895675004</v>
      </c>
      <c r="N15" s="295">
        <f t="shared" ref="N15:N18" si="7">K15*1.05</f>
        <v>58003529.895675004</v>
      </c>
      <c r="O15" s="297"/>
      <c r="Q15" s="284">
        <f>K15/H15%</f>
        <v>104.99999999999999</v>
      </c>
      <c r="R15" s="284"/>
      <c r="S15" s="284">
        <f t="shared" si="2"/>
        <v>105</v>
      </c>
      <c r="T15" s="284"/>
      <c r="U15" s="285"/>
      <c r="V15" s="286">
        <f t="shared" si="3"/>
        <v>7644320.4699999988</v>
      </c>
      <c r="W15" s="286">
        <f t="shared" si="4"/>
        <v>2630545.5734999999</v>
      </c>
      <c r="X15" s="286">
        <f t="shared" si="5"/>
        <v>2762072.8521750048</v>
      </c>
      <c r="Y15" s="287"/>
      <c r="AA15" s="299"/>
    </row>
    <row r="16" spans="1:27" ht="78.75" x14ac:dyDescent="0.25">
      <c r="A16" s="3"/>
      <c r="B16" s="3">
        <v>11010200</v>
      </c>
      <c r="C16" s="290" t="s">
        <v>298</v>
      </c>
      <c r="D16" s="291">
        <f>E16+F16</f>
        <v>2427433</v>
      </c>
      <c r="E16" s="292">
        <v>2427433</v>
      </c>
      <c r="F16" s="293"/>
      <c r="G16" s="294">
        <f>H16+I16</f>
        <v>2840096.61</v>
      </c>
      <c r="H16" s="295">
        <f>E16*1.17</f>
        <v>2840096.61</v>
      </c>
      <c r="I16" s="296"/>
      <c r="J16" s="297">
        <f>K16+L16</f>
        <v>2982101.4405</v>
      </c>
      <c r="K16" s="295">
        <f t="shared" ref="K16:K18" si="8">H16*1.05</f>
        <v>2982101.4405</v>
      </c>
      <c r="L16" s="296"/>
      <c r="M16" s="297">
        <f>N16+O16</f>
        <v>3131206.5125250001</v>
      </c>
      <c r="N16" s="295">
        <f t="shared" si="7"/>
        <v>3131206.5125250001</v>
      </c>
      <c r="O16" s="297"/>
      <c r="Q16" s="284">
        <f t="shared" ref="Q16:Q66" si="9">K16/H16%</f>
        <v>105.00000000000001</v>
      </c>
      <c r="R16" s="284"/>
      <c r="S16" s="284">
        <f t="shared" si="2"/>
        <v>105</v>
      </c>
      <c r="T16" s="284"/>
      <c r="U16" s="285"/>
      <c r="V16" s="286">
        <f t="shared" si="3"/>
        <v>412663.60999999987</v>
      </c>
      <c r="W16" s="286">
        <f t="shared" si="4"/>
        <v>142004.83050000016</v>
      </c>
      <c r="X16" s="286">
        <f t="shared" si="5"/>
        <v>149105.07202500012</v>
      </c>
      <c r="Y16" s="287"/>
    </row>
    <row r="17" spans="1:25" ht="49.5" customHeight="1" x14ac:dyDescent="0.25">
      <c r="A17" s="3"/>
      <c r="B17" s="3">
        <v>11010400</v>
      </c>
      <c r="C17" s="290" t="s">
        <v>299</v>
      </c>
      <c r="D17" s="291">
        <f>E17+F17</f>
        <v>7076753</v>
      </c>
      <c r="E17" s="292">
        <v>7076753</v>
      </c>
      <c r="F17" s="293"/>
      <c r="G17" s="294">
        <f>H17+I17</f>
        <v>8279801.0099999998</v>
      </c>
      <c r="H17" s="295">
        <f t="shared" ref="H17:H18" si="10">E17*1.17</f>
        <v>8279801.0099999998</v>
      </c>
      <c r="I17" s="296"/>
      <c r="J17" s="297">
        <f>K17+L17</f>
        <v>8693791.0604999997</v>
      </c>
      <c r="K17" s="295">
        <f t="shared" si="8"/>
        <v>8693791.0604999997</v>
      </c>
      <c r="L17" s="296"/>
      <c r="M17" s="297">
        <f>N17+O17</f>
        <v>9128480.6135249995</v>
      </c>
      <c r="N17" s="295">
        <f t="shared" si="7"/>
        <v>9128480.6135249995</v>
      </c>
      <c r="O17" s="297"/>
      <c r="Q17" s="284">
        <f t="shared" si="9"/>
        <v>105</v>
      </c>
      <c r="R17" s="284"/>
      <c r="S17" s="284">
        <f t="shared" si="2"/>
        <v>105</v>
      </c>
      <c r="T17" s="284"/>
      <c r="U17" s="285"/>
      <c r="V17" s="286">
        <f t="shared" si="3"/>
        <v>1203048.0099999998</v>
      </c>
      <c r="W17" s="286">
        <f t="shared" si="4"/>
        <v>413990.0504999999</v>
      </c>
      <c r="X17" s="286">
        <f t="shared" si="5"/>
        <v>434689.5530249998</v>
      </c>
      <c r="Y17" s="287"/>
    </row>
    <row r="18" spans="1:25" ht="52.5" customHeight="1" x14ac:dyDescent="0.25">
      <c r="A18" s="3"/>
      <c r="B18" s="3">
        <v>11010500</v>
      </c>
      <c r="C18" s="290" t="s">
        <v>300</v>
      </c>
      <c r="D18" s="291">
        <f>E18+F18</f>
        <v>473083</v>
      </c>
      <c r="E18" s="292">
        <v>473083</v>
      </c>
      <c r="F18" s="293"/>
      <c r="G18" s="294">
        <f>H18+I18</f>
        <v>553507.11</v>
      </c>
      <c r="H18" s="295">
        <f t="shared" si="10"/>
        <v>553507.11</v>
      </c>
      <c r="I18" s="296"/>
      <c r="J18" s="297">
        <f>K18+L18</f>
        <v>581182.46550000005</v>
      </c>
      <c r="K18" s="295">
        <f t="shared" si="8"/>
        <v>581182.46550000005</v>
      </c>
      <c r="L18" s="296"/>
      <c r="M18" s="297">
        <f>N18+O18</f>
        <v>610241.58877500007</v>
      </c>
      <c r="N18" s="295">
        <f t="shared" si="7"/>
        <v>610241.58877500007</v>
      </c>
      <c r="O18" s="297"/>
      <c r="Q18" s="284">
        <f t="shared" si="9"/>
        <v>105</v>
      </c>
      <c r="R18" s="284"/>
      <c r="S18" s="284">
        <f t="shared" si="2"/>
        <v>105</v>
      </c>
      <c r="T18" s="284"/>
      <c r="U18" s="285"/>
      <c r="V18" s="286">
        <f t="shared" si="3"/>
        <v>80424.109999999986</v>
      </c>
      <c r="W18" s="286">
        <f t="shared" si="4"/>
        <v>27675.355500000063</v>
      </c>
      <c r="X18" s="286">
        <f t="shared" si="5"/>
        <v>29059.12327500002</v>
      </c>
      <c r="Y18" s="287"/>
    </row>
    <row r="19" spans="1:25" s="283" customFormat="1" ht="20.25" customHeight="1" x14ac:dyDescent="0.25">
      <c r="A19" s="272"/>
      <c r="B19" s="272">
        <v>11020000</v>
      </c>
      <c r="C19" s="273" t="s">
        <v>301</v>
      </c>
      <c r="D19" s="274">
        <f>D20</f>
        <v>12115</v>
      </c>
      <c r="E19" s="275">
        <f>E20</f>
        <v>12115</v>
      </c>
      <c r="F19" s="276">
        <f>F20</f>
        <v>0</v>
      </c>
      <c r="G19" s="277">
        <f t="shared" ref="G19:O19" si="11">G20</f>
        <v>12130</v>
      </c>
      <c r="H19" s="278">
        <f t="shared" si="11"/>
        <v>12130</v>
      </c>
      <c r="I19" s="279">
        <f t="shared" si="11"/>
        <v>0</v>
      </c>
      <c r="J19" s="288">
        <f t="shared" si="11"/>
        <v>12200</v>
      </c>
      <c r="K19" s="289">
        <f t="shared" si="11"/>
        <v>12200</v>
      </c>
      <c r="L19" s="279">
        <f t="shared" si="11"/>
        <v>0</v>
      </c>
      <c r="M19" s="288">
        <f t="shared" si="11"/>
        <v>12400</v>
      </c>
      <c r="N19" s="288">
        <f>N20</f>
        <v>12400</v>
      </c>
      <c r="O19" s="288">
        <f t="shared" si="11"/>
        <v>0</v>
      </c>
      <c r="Q19" s="284">
        <f t="shared" si="9"/>
        <v>100.57708161582853</v>
      </c>
      <c r="R19" s="284"/>
      <c r="S19" s="284">
        <f t="shared" si="2"/>
        <v>101.63934426229508</v>
      </c>
      <c r="T19" s="284"/>
      <c r="U19" s="285"/>
      <c r="V19" s="286">
        <f t="shared" si="3"/>
        <v>15</v>
      </c>
      <c r="W19" s="286">
        <f t="shared" si="4"/>
        <v>70</v>
      </c>
      <c r="X19" s="286">
        <f t="shared" si="5"/>
        <v>200</v>
      </c>
      <c r="Y19" s="287"/>
    </row>
    <row r="20" spans="1:25" ht="39" customHeight="1" x14ac:dyDescent="0.25">
      <c r="A20" s="3"/>
      <c r="B20" s="3">
        <v>11020200</v>
      </c>
      <c r="C20" s="290" t="s">
        <v>302</v>
      </c>
      <c r="D20" s="291">
        <f>E20+F20</f>
        <v>12115</v>
      </c>
      <c r="E20" s="292">
        <v>12115</v>
      </c>
      <c r="F20" s="293"/>
      <c r="G20" s="294">
        <f>H20+I20</f>
        <v>12130</v>
      </c>
      <c r="H20" s="295">
        <v>12130</v>
      </c>
      <c r="I20" s="296"/>
      <c r="J20" s="297">
        <f>K20+L20</f>
        <v>12200</v>
      </c>
      <c r="K20" s="298">
        <v>12200</v>
      </c>
      <c r="L20" s="296"/>
      <c r="M20" s="297">
        <f>N20+O20</f>
        <v>12400</v>
      </c>
      <c r="N20" s="297">
        <v>12400</v>
      </c>
      <c r="O20" s="297"/>
      <c r="Q20" s="284">
        <f t="shared" si="9"/>
        <v>100.57708161582853</v>
      </c>
      <c r="R20" s="284"/>
      <c r="S20" s="284">
        <f t="shared" si="2"/>
        <v>101.63934426229508</v>
      </c>
      <c r="T20" s="284"/>
      <c r="U20" s="285"/>
      <c r="V20" s="286">
        <f t="shared" si="3"/>
        <v>15</v>
      </c>
      <c r="W20" s="286">
        <f t="shared" si="4"/>
        <v>70</v>
      </c>
      <c r="X20" s="286">
        <f t="shared" si="5"/>
        <v>200</v>
      </c>
      <c r="Y20" s="287"/>
    </row>
    <row r="21" spans="1:25" s="283" customFormat="1" ht="37.5" customHeight="1" x14ac:dyDescent="0.25">
      <c r="A21" s="272"/>
      <c r="B21" s="272">
        <v>13000000</v>
      </c>
      <c r="C21" s="273" t="s">
        <v>303</v>
      </c>
      <c r="D21" s="274">
        <f>D22+D24</f>
        <v>119300</v>
      </c>
      <c r="E21" s="275">
        <f>E22+E24</f>
        <v>119300</v>
      </c>
      <c r="F21" s="276">
        <f>F22+F24</f>
        <v>0</v>
      </c>
      <c r="G21" s="277">
        <f t="shared" ref="G21:O21" si="12">G22+G24</f>
        <v>120100</v>
      </c>
      <c r="H21" s="278">
        <f t="shared" si="12"/>
        <v>120100</v>
      </c>
      <c r="I21" s="279">
        <f t="shared" si="12"/>
        <v>0</v>
      </c>
      <c r="J21" s="288">
        <f t="shared" si="12"/>
        <v>120500</v>
      </c>
      <c r="K21" s="289">
        <f t="shared" si="12"/>
        <v>120500</v>
      </c>
      <c r="L21" s="279">
        <f t="shared" si="12"/>
        <v>0</v>
      </c>
      <c r="M21" s="288">
        <f t="shared" si="12"/>
        <v>122800</v>
      </c>
      <c r="N21" s="288">
        <f t="shared" si="12"/>
        <v>122800</v>
      </c>
      <c r="O21" s="288">
        <f t="shared" si="12"/>
        <v>0</v>
      </c>
      <c r="Q21" s="284">
        <f t="shared" si="9"/>
        <v>100.3330557868443</v>
      </c>
      <c r="R21" s="284"/>
      <c r="S21" s="284">
        <f t="shared" si="2"/>
        <v>101.90871369294605</v>
      </c>
      <c r="T21" s="284"/>
      <c r="U21" s="285"/>
      <c r="V21" s="286">
        <f t="shared" si="3"/>
        <v>800</v>
      </c>
      <c r="W21" s="286">
        <f t="shared" si="4"/>
        <v>400</v>
      </c>
      <c r="X21" s="286">
        <f t="shared" si="5"/>
        <v>2300</v>
      </c>
      <c r="Y21" s="287"/>
    </row>
    <row r="22" spans="1:25" s="283" customFormat="1" ht="41.25" hidden="1" customHeight="1" x14ac:dyDescent="0.25">
      <c r="A22" s="272"/>
      <c r="B22" s="272">
        <v>13010000</v>
      </c>
      <c r="C22" s="273" t="s">
        <v>304</v>
      </c>
      <c r="D22" s="291">
        <f>E22+F22</f>
        <v>0</v>
      </c>
      <c r="E22" s="292">
        <f>E23</f>
        <v>0</v>
      </c>
      <c r="F22" s="293">
        <f>F23</f>
        <v>0</v>
      </c>
      <c r="G22" s="300">
        <f t="shared" ref="G22:O22" si="13">G23</f>
        <v>0</v>
      </c>
      <c r="H22" s="301">
        <f t="shared" si="13"/>
        <v>0</v>
      </c>
      <c r="I22" s="302">
        <f t="shared" si="13"/>
        <v>0</v>
      </c>
      <c r="J22" s="303">
        <f t="shared" si="13"/>
        <v>0</v>
      </c>
      <c r="K22" s="304">
        <f t="shared" si="13"/>
        <v>0</v>
      </c>
      <c r="L22" s="302">
        <f t="shared" si="13"/>
        <v>0</v>
      </c>
      <c r="M22" s="303">
        <f t="shared" si="13"/>
        <v>0</v>
      </c>
      <c r="N22" s="303">
        <f t="shared" si="13"/>
        <v>0</v>
      </c>
      <c r="O22" s="303">
        <f t="shared" si="13"/>
        <v>0</v>
      </c>
      <c r="Q22" s="284"/>
      <c r="R22" s="284"/>
      <c r="S22" s="284"/>
      <c r="T22" s="284"/>
      <c r="U22" s="285"/>
      <c r="V22" s="286">
        <f t="shared" si="3"/>
        <v>0</v>
      </c>
      <c r="W22" s="286">
        <f t="shared" si="4"/>
        <v>0</v>
      </c>
      <c r="X22" s="286">
        <f t="shared" si="5"/>
        <v>0</v>
      </c>
      <c r="Y22" s="287"/>
    </row>
    <row r="23" spans="1:25" ht="84.75" hidden="1" customHeight="1" x14ac:dyDescent="0.25">
      <c r="A23" s="3"/>
      <c r="B23" s="3">
        <v>13010200</v>
      </c>
      <c r="C23" s="290" t="s">
        <v>305</v>
      </c>
      <c r="D23" s="291">
        <f>E23+F23</f>
        <v>0</v>
      </c>
      <c r="E23" s="292">
        <v>0</v>
      </c>
      <c r="F23" s="293">
        <v>0</v>
      </c>
      <c r="G23" s="294">
        <f>H23+I23</f>
        <v>0</v>
      </c>
      <c r="H23" s="295">
        <v>0</v>
      </c>
      <c r="I23" s="296">
        <v>0</v>
      </c>
      <c r="J23" s="297">
        <f>K23+L23</f>
        <v>0</v>
      </c>
      <c r="K23" s="298">
        <v>0</v>
      </c>
      <c r="L23" s="296"/>
      <c r="M23" s="297">
        <f>N23+O23</f>
        <v>0</v>
      </c>
      <c r="N23" s="297">
        <v>0</v>
      </c>
      <c r="O23" s="297"/>
      <c r="Q23" s="284"/>
      <c r="R23" s="284"/>
      <c r="S23" s="284"/>
      <c r="T23" s="284"/>
      <c r="U23" s="285"/>
      <c r="V23" s="286">
        <f t="shared" si="3"/>
        <v>0</v>
      </c>
      <c r="W23" s="286">
        <f t="shared" si="4"/>
        <v>0</v>
      </c>
      <c r="X23" s="286">
        <f t="shared" si="5"/>
        <v>0</v>
      </c>
      <c r="Y23" s="287"/>
    </row>
    <row r="24" spans="1:25" s="283" customFormat="1" ht="21.75" customHeight="1" x14ac:dyDescent="0.25">
      <c r="A24" s="272"/>
      <c r="B24" s="272">
        <v>13030000</v>
      </c>
      <c r="C24" s="273" t="s">
        <v>306</v>
      </c>
      <c r="D24" s="274">
        <f>D25</f>
        <v>119300</v>
      </c>
      <c r="E24" s="275">
        <f>E25</f>
        <v>119300</v>
      </c>
      <c r="F24" s="276">
        <f>F25</f>
        <v>0</v>
      </c>
      <c r="G24" s="277">
        <f t="shared" ref="G24:O24" si="14">G25</f>
        <v>120100</v>
      </c>
      <c r="H24" s="278">
        <f t="shared" si="14"/>
        <v>120100</v>
      </c>
      <c r="I24" s="279">
        <f t="shared" si="14"/>
        <v>0</v>
      </c>
      <c r="J24" s="288">
        <f t="shared" si="14"/>
        <v>120500</v>
      </c>
      <c r="K24" s="289">
        <f t="shared" si="14"/>
        <v>120500</v>
      </c>
      <c r="L24" s="279">
        <f t="shared" si="14"/>
        <v>0</v>
      </c>
      <c r="M24" s="288">
        <f t="shared" si="14"/>
        <v>122800</v>
      </c>
      <c r="N24" s="288">
        <f t="shared" si="14"/>
        <v>122800</v>
      </c>
      <c r="O24" s="288">
        <f t="shared" si="14"/>
        <v>0</v>
      </c>
      <c r="Q24" s="284">
        <f t="shared" si="9"/>
        <v>100.3330557868443</v>
      </c>
      <c r="R24" s="284"/>
      <c r="S24" s="284">
        <f t="shared" si="2"/>
        <v>101.90871369294605</v>
      </c>
      <c r="T24" s="284"/>
      <c r="U24" s="285"/>
      <c r="V24" s="286">
        <f t="shared" si="3"/>
        <v>800</v>
      </c>
      <c r="W24" s="286">
        <f t="shared" si="4"/>
        <v>400</v>
      </c>
      <c r="X24" s="286">
        <f t="shared" si="5"/>
        <v>2300</v>
      </c>
      <c r="Y24" s="287"/>
    </row>
    <row r="25" spans="1:25" ht="52.5" customHeight="1" x14ac:dyDescent="0.25">
      <c r="A25" s="3"/>
      <c r="B25" s="3">
        <v>13030100</v>
      </c>
      <c r="C25" s="290" t="s">
        <v>307</v>
      </c>
      <c r="D25" s="291">
        <f>E25+F25</f>
        <v>119300</v>
      </c>
      <c r="E25" s="292">
        <v>119300</v>
      </c>
      <c r="F25" s="293"/>
      <c r="G25" s="294">
        <f>H25+I25</f>
        <v>120100</v>
      </c>
      <c r="H25" s="295">
        <v>120100</v>
      </c>
      <c r="I25" s="296"/>
      <c r="J25" s="297">
        <f>K25+L25</f>
        <v>120500</v>
      </c>
      <c r="K25" s="298">
        <v>120500</v>
      </c>
      <c r="L25" s="296"/>
      <c r="M25" s="297">
        <f>N25+O25</f>
        <v>122800</v>
      </c>
      <c r="N25" s="297">
        <v>122800</v>
      </c>
      <c r="O25" s="297"/>
      <c r="Q25" s="284">
        <f t="shared" si="9"/>
        <v>100.3330557868443</v>
      </c>
      <c r="R25" s="284"/>
      <c r="S25" s="284">
        <f t="shared" si="2"/>
        <v>101.90871369294605</v>
      </c>
      <c r="T25" s="284"/>
      <c r="U25" s="285"/>
      <c r="V25" s="286">
        <f t="shared" si="3"/>
        <v>800</v>
      </c>
      <c r="W25" s="286">
        <f t="shared" si="4"/>
        <v>400</v>
      </c>
      <c r="X25" s="286">
        <f t="shared" si="5"/>
        <v>2300</v>
      </c>
      <c r="Y25" s="287"/>
    </row>
    <row r="26" spans="1:25" s="283" customFormat="1" ht="34.5" customHeight="1" x14ac:dyDescent="0.25">
      <c r="A26" s="272"/>
      <c r="B26" s="272">
        <v>14000000</v>
      </c>
      <c r="C26" s="273" t="s">
        <v>308</v>
      </c>
      <c r="D26" s="274">
        <f>D27+D29+D31</f>
        <v>6460035</v>
      </c>
      <c r="E26" s="275">
        <f>E27+E29+E31</f>
        <v>6460035</v>
      </c>
      <c r="F26" s="276">
        <f>F27+F29+F31</f>
        <v>0</v>
      </c>
      <c r="G26" s="277">
        <f>H26+I26</f>
        <v>2300200</v>
      </c>
      <c r="H26" s="278">
        <f>H27+H29+H31</f>
        <v>2300200</v>
      </c>
      <c r="I26" s="279">
        <f t="shared" ref="I26:O26" si="15">I27+I29+I31</f>
        <v>0</v>
      </c>
      <c r="J26" s="288">
        <f t="shared" si="15"/>
        <v>2400500</v>
      </c>
      <c r="K26" s="289">
        <f t="shared" si="15"/>
        <v>2400500</v>
      </c>
      <c r="L26" s="279">
        <f t="shared" si="15"/>
        <v>0</v>
      </c>
      <c r="M26" s="288">
        <f t="shared" si="15"/>
        <v>2491500</v>
      </c>
      <c r="N26" s="288">
        <f t="shared" si="15"/>
        <v>2491500</v>
      </c>
      <c r="O26" s="288">
        <f t="shared" si="15"/>
        <v>0</v>
      </c>
      <c r="Q26" s="284">
        <f t="shared" si="9"/>
        <v>104.36049039213981</v>
      </c>
      <c r="R26" s="284"/>
      <c r="S26" s="284">
        <f t="shared" si="2"/>
        <v>103.7908769006457</v>
      </c>
      <c r="T26" s="284"/>
      <c r="U26" s="285"/>
      <c r="V26" s="286">
        <f t="shared" si="3"/>
        <v>-4159835</v>
      </c>
      <c r="W26" s="286">
        <f t="shared" si="4"/>
        <v>100300</v>
      </c>
      <c r="X26" s="286">
        <f t="shared" si="5"/>
        <v>91000</v>
      </c>
      <c r="Y26" s="287"/>
    </row>
    <row r="27" spans="1:25" s="283" customFormat="1" ht="46.5" customHeight="1" x14ac:dyDescent="0.25">
      <c r="A27" s="272"/>
      <c r="B27" s="272">
        <v>14020000</v>
      </c>
      <c r="C27" s="273" t="s">
        <v>309</v>
      </c>
      <c r="D27" s="274">
        <f>D28</f>
        <v>841165</v>
      </c>
      <c r="E27" s="275">
        <f>E28</f>
        <v>841165</v>
      </c>
      <c r="F27" s="276">
        <f>F28</f>
        <v>0</v>
      </c>
      <c r="G27" s="277">
        <f t="shared" ref="G27:O27" si="16">G28</f>
        <v>0</v>
      </c>
      <c r="H27" s="278">
        <f t="shared" si="16"/>
        <v>0</v>
      </c>
      <c r="I27" s="279">
        <f t="shared" si="16"/>
        <v>0</v>
      </c>
      <c r="J27" s="288">
        <f t="shared" si="16"/>
        <v>0</v>
      </c>
      <c r="K27" s="289">
        <f t="shared" si="16"/>
        <v>0</v>
      </c>
      <c r="L27" s="279">
        <f t="shared" si="16"/>
        <v>0</v>
      </c>
      <c r="M27" s="288">
        <f t="shared" si="16"/>
        <v>0</v>
      </c>
      <c r="N27" s="288">
        <f t="shared" si="16"/>
        <v>0</v>
      </c>
      <c r="O27" s="288">
        <f t="shared" si="16"/>
        <v>0</v>
      </c>
      <c r="Q27" s="284"/>
      <c r="R27" s="284"/>
      <c r="S27" s="284"/>
      <c r="T27" s="284"/>
      <c r="U27" s="285"/>
      <c r="V27" s="286">
        <f t="shared" si="3"/>
        <v>-841165</v>
      </c>
      <c r="W27" s="286">
        <f t="shared" si="4"/>
        <v>0</v>
      </c>
      <c r="X27" s="286">
        <f t="shared" si="5"/>
        <v>0</v>
      </c>
      <c r="Y27" s="287"/>
    </row>
    <row r="28" spans="1:25" ht="34.5" customHeight="1" x14ac:dyDescent="0.25">
      <c r="A28" s="3"/>
      <c r="B28" s="3">
        <v>14021900</v>
      </c>
      <c r="C28" s="290" t="s">
        <v>310</v>
      </c>
      <c r="D28" s="291">
        <f>E28+F28</f>
        <v>841165</v>
      </c>
      <c r="E28" s="292">
        <v>841165</v>
      </c>
      <c r="F28" s="293"/>
      <c r="G28" s="294">
        <f>H28+I28</f>
        <v>0</v>
      </c>
      <c r="H28" s="295">
        <v>0</v>
      </c>
      <c r="I28" s="296"/>
      <c r="J28" s="297">
        <f>K28+L28</f>
        <v>0</v>
      </c>
      <c r="K28" s="298"/>
      <c r="L28" s="296"/>
      <c r="M28" s="297">
        <f>N28+O28</f>
        <v>0</v>
      </c>
      <c r="N28" s="297"/>
      <c r="O28" s="297"/>
      <c r="Q28" s="284"/>
      <c r="R28" s="284"/>
      <c r="S28" s="284"/>
      <c r="T28" s="284"/>
      <c r="U28" s="285"/>
      <c r="V28" s="286">
        <f t="shared" si="3"/>
        <v>-841165</v>
      </c>
      <c r="W28" s="286">
        <f t="shared" si="4"/>
        <v>0</v>
      </c>
      <c r="X28" s="286">
        <f t="shared" si="5"/>
        <v>0</v>
      </c>
      <c r="Y28" s="287"/>
    </row>
    <row r="29" spans="1:25" s="283" customFormat="1" ht="45" customHeight="1" x14ac:dyDescent="0.25">
      <c r="A29" s="272"/>
      <c r="B29" s="272">
        <v>14030000</v>
      </c>
      <c r="C29" s="273" t="s">
        <v>311</v>
      </c>
      <c r="D29" s="274">
        <f>D30</f>
        <v>3334605</v>
      </c>
      <c r="E29" s="275">
        <f>E30</f>
        <v>3334605</v>
      </c>
      <c r="F29" s="276">
        <f>F30</f>
        <v>0</v>
      </c>
      <c r="G29" s="277"/>
      <c r="H29" s="278"/>
      <c r="I29" s="279">
        <f t="shared" ref="I29:O29" si="17">I30</f>
        <v>0</v>
      </c>
      <c r="J29" s="288">
        <f t="shared" si="17"/>
        <v>0</v>
      </c>
      <c r="K29" s="289">
        <f t="shared" si="17"/>
        <v>0</v>
      </c>
      <c r="L29" s="279">
        <f t="shared" si="17"/>
        <v>0</v>
      </c>
      <c r="M29" s="288">
        <f t="shared" si="17"/>
        <v>0</v>
      </c>
      <c r="N29" s="288">
        <f t="shared" si="17"/>
        <v>0</v>
      </c>
      <c r="O29" s="288">
        <f t="shared" si="17"/>
        <v>0</v>
      </c>
      <c r="Q29" s="284"/>
      <c r="R29" s="284"/>
      <c r="S29" s="284"/>
      <c r="T29" s="284"/>
      <c r="U29" s="285"/>
      <c r="V29" s="286">
        <f t="shared" si="3"/>
        <v>-3334605</v>
      </c>
      <c r="W29" s="286">
        <f t="shared" si="4"/>
        <v>0</v>
      </c>
      <c r="X29" s="286">
        <f t="shared" si="5"/>
        <v>0</v>
      </c>
      <c r="Y29" s="287"/>
    </row>
    <row r="30" spans="1:25" ht="32.25" customHeight="1" x14ac:dyDescent="0.25">
      <c r="A30" s="3"/>
      <c r="B30" s="3">
        <v>14031900</v>
      </c>
      <c r="C30" s="290" t="s">
        <v>310</v>
      </c>
      <c r="D30" s="291">
        <f>E30+F30</f>
        <v>3334605</v>
      </c>
      <c r="E30" s="292">
        <v>3334605</v>
      </c>
      <c r="F30" s="293"/>
      <c r="G30" s="294"/>
      <c r="H30" s="295"/>
      <c r="I30" s="296"/>
      <c r="J30" s="297">
        <f>K30+L30</f>
        <v>0</v>
      </c>
      <c r="K30" s="298"/>
      <c r="L30" s="296"/>
      <c r="M30" s="297">
        <f>N30+O30</f>
        <v>0</v>
      </c>
      <c r="N30" s="297"/>
      <c r="O30" s="297"/>
      <c r="Q30" s="284"/>
      <c r="R30" s="284"/>
      <c r="S30" s="284"/>
      <c r="T30" s="284"/>
      <c r="U30" s="285"/>
      <c r="V30" s="286">
        <f t="shared" si="3"/>
        <v>-3334605</v>
      </c>
      <c r="W30" s="286">
        <f t="shared" si="4"/>
        <v>0</v>
      </c>
      <c r="X30" s="286">
        <f t="shared" si="5"/>
        <v>0</v>
      </c>
      <c r="Y30" s="287"/>
    </row>
    <row r="31" spans="1:25" ht="50.25" customHeight="1" x14ac:dyDescent="0.25">
      <c r="A31" s="3"/>
      <c r="B31" s="3">
        <v>14040000</v>
      </c>
      <c r="C31" s="290" t="s">
        <v>312</v>
      </c>
      <c r="D31" s="291">
        <f>E31+F31</f>
        <v>2284265</v>
      </c>
      <c r="E31" s="292">
        <v>2284265</v>
      </c>
      <c r="F31" s="293"/>
      <c r="G31" s="294">
        <f>H31+I31</f>
        <v>2300200</v>
      </c>
      <c r="H31" s="295">
        <v>2300200</v>
      </c>
      <c r="I31" s="296"/>
      <c r="J31" s="297">
        <f>K31+L31</f>
        <v>2400500</v>
      </c>
      <c r="K31" s="298">
        <v>2400500</v>
      </c>
      <c r="L31" s="296"/>
      <c r="M31" s="297">
        <f>N31+O31</f>
        <v>2491500</v>
      </c>
      <c r="N31" s="297">
        <v>2491500</v>
      </c>
      <c r="O31" s="297"/>
      <c r="Q31" s="284">
        <f t="shared" si="9"/>
        <v>104.36049039213981</v>
      </c>
      <c r="R31" s="284"/>
      <c r="S31" s="284">
        <f t="shared" si="2"/>
        <v>103.7908769006457</v>
      </c>
      <c r="T31" s="284"/>
      <c r="U31" s="285"/>
      <c r="V31" s="286">
        <f t="shared" si="3"/>
        <v>15935</v>
      </c>
      <c r="W31" s="286">
        <f t="shared" si="4"/>
        <v>100300</v>
      </c>
      <c r="X31" s="286">
        <f t="shared" si="5"/>
        <v>91000</v>
      </c>
      <c r="Y31" s="287"/>
    </row>
    <row r="32" spans="1:25" s="283" customFormat="1" ht="24.75" customHeight="1" x14ac:dyDescent="0.25">
      <c r="A32" s="272"/>
      <c r="B32" s="272">
        <v>18000000</v>
      </c>
      <c r="C32" s="273" t="s">
        <v>313</v>
      </c>
      <c r="D32" s="274">
        <f>D33+D44</f>
        <v>35877815</v>
      </c>
      <c r="E32" s="275">
        <f>E33+E44</f>
        <v>35877815</v>
      </c>
      <c r="F32" s="276">
        <f>F33+F44</f>
        <v>0</v>
      </c>
      <c r="G32" s="277">
        <f t="shared" ref="G32:O32" si="18">G33+G44</f>
        <v>36726950</v>
      </c>
      <c r="H32" s="278">
        <f t="shared" si="18"/>
        <v>36726950</v>
      </c>
      <c r="I32" s="279">
        <f t="shared" si="18"/>
        <v>0</v>
      </c>
      <c r="J32" s="288">
        <f t="shared" si="18"/>
        <v>37402200</v>
      </c>
      <c r="K32" s="289">
        <f t="shared" si="18"/>
        <v>37402200</v>
      </c>
      <c r="L32" s="279">
        <f t="shared" si="18"/>
        <v>0</v>
      </c>
      <c r="M32" s="288">
        <f t="shared" si="18"/>
        <v>38160150</v>
      </c>
      <c r="N32" s="288">
        <f t="shared" si="18"/>
        <v>38160150</v>
      </c>
      <c r="O32" s="288">
        <f t="shared" si="18"/>
        <v>0</v>
      </c>
      <c r="Q32" s="284">
        <f t="shared" si="9"/>
        <v>101.83856813593287</v>
      </c>
      <c r="R32" s="284"/>
      <c r="S32" s="284">
        <f t="shared" si="2"/>
        <v>102.02648507307057</v>
      </c>
      <c r="T32" s="284"/>
      <c r="U32" s="285"/>
      <c r="V32" s="286">
        <f t="shared" si="3"/>
        <v>849135</v>
      </c>
      <c r="W32" s="286">
        <f t="shared" si="4"/>
        <v>675250</v>
      </c>
      <c r="X32" s="286">
        <f t="shared" si="5"/>
        <v>757950</v>
      </c>
      <c r="Y32" s="287"/>
    </row>
    <row r="33" spans="1:25" s="283" customFormat="1" ht="23.25" customHeight="1" x14ac:dyDescent="0.25">
      <c r="A33" s="272"/>
      <c r="B33" s="272">
        <v>18010000</v>
      </c>
      <c r="C33" s="273" t="s">
        <v>314</v>
      </c>
      <c r="D33" s="274">
        <f>D34+D35+D36+D37+D38+D39++D40+D41+D42+D43</f>
        <v>19887187</v>
      </c>
      <c r="E33" s="275">
        <f>E34+E35+E36+E37+E38+E39++E40+E41+E42+E43</f>
        <v>19887187</v>
      </c>
      <c r="F33" s="276">
        <f>F34+F35+F36+F37+F38+F39++F40+F41+F42+F43</f>
        <v>0</v>
      </c>
      <c r="G33" s="277">
        <f t="shared" ref="G33:O33" si="19">G34+G35+G36+G37+G38+G39++G40+G41+G42+G43</f>
        <v>20144770</v>
      </c>
      <c r="H33" s="278">
        <f t="shared" si="19"/>
        <v>20144770</v>
      </c>
      <c r="I33" s="279">
        <f t="shared" si="19"/>
        <v>0</v>
      </c>
      <c r="J33" s="288">
        <f t="shared" si="19"/>
        <v>20210900</v>
      </c>
      <c r="K33" s="289">
        <f t="shared" si="19"/>
        <v>20210900</v>
      </c>
      <c r="L33" s="279">
        <f t="shared" si="19"/>
        <v>0</v>
      </c>
      <c r="M33" s="288">
        <f t="shared" si="19"/>
        <v>20556050</v>
      </c>
      <c r="N33" s="288">
        <f t="shared" si="19"/>
        <v>20556050</v>
      </c>
      <c r="O33" s="288">
        <f t="shared" si="19"/>
        <v>0</v>
      </c>
      <c r="P33" s="305"/>
      <c r="Q33" s="284">
        <f t="shared" si="9"/>
        <v>100.32827379016985</v>
      </c>
      <c r="R33" s="284"/>
      <c r="S33" s="284">
        <f t="shared" si="2"/>
        <v>101.70774186206452</v>
      </c>
      <c r="T33" s="284"/>
      <c r="U33" s="285"/>
      <c r="V33" s="286">
        <f t="shared" si="3"/>
        <v>257583</v>
      </c>
      <c r="W33" s="286">
        <f t="shared" si="4"/>
        <v>66130</v>
      </c>
      <c r="X33" s="286">
        <f t="shared" si="5"/>
        <v>345150</v>
      </c>
      <c r="Y33" s="287"/>
    </row>
    <row r="34" spans="1:25" ht="51" customHeight="1" x14ac:dyDescent="0.25">
      <c r="A34" s="3"/>
      <c r="B34" s="3">
        <v>18010100</v>
      </c>
      <c r="C34" s="290" t="s">
        <v>315</v>
      </c>
      <c r="D34" s="291">
        <f t="shared" ref="D34:D43" si="20">E34+F34</f>
        <v>18139</v>
      </c>
      <c r="E34" s="292">
        <v>18139</v>
      </c>
      <c r="F34" s="293"/>
      <c r="G34" s="294">
        <f t="shared" ref="G34:G43" si="21">H34+I34</f>
        <v>18370</v>
      </c>
      <c r="H34" s="295">
        <v>18370</v>
      </c>
      <c r="I34" s="296"/>
      <c r="J34" s="297">
        <f t="shared" ref="J34:J43" si="22">K34+L34</f>
        <v>18600</v>
      </c>
      <c r="K34" s="298">
        <v>18600</v>
      </c>
      <c r="L34" s="296"/>
      <c r="M34" s="297">
        <f t="shared" ref="M34:M43" si="23">N34+O34</f>
        <v>19200</v>
      </c>
      <c r="N34" s="297">
        <v>19200</v>
      </c>
      <c r="O34" s="297"/>
      <c r="P34" s="306"/>
      <c r="Q34" s="284">
        <f t="shared" si="9"/>
        <v>101.25204137180185</v>
      </c>
      <c r="R34" s="284"/>
      <c r="S34" s="284">
        <f t="shared" si="2"/>
        <v>103.2258064516129</v>
      </c>
      <c r="T34" s="284"/>
      <c r="U34" s="285"/>
      <c r="V34" s="286">
        <f t="shared" si="3"/>
        <v>231</v>
      </c>
      <c r="W34" s="286">
        <f t="shared" si="4"/>
        <v>230</v>
      </c>
      <c r="X34" s="286">
        <f t="shared" si="5"/>
        <v>600</v>
      </c>
      <c r="Y34" s="287"/>
    </row>
    <row r="35" spans="1:25" ht="53.25" customHeight="1" x14ac:dyDescent="0.25">
      <c r="A35" s="3"/>
      <c r="B35" s="3">
        <v>18010200</v>
      </c>
      <c r="C35" s="290" t="s">
        <v>316</v>
      </c>
      <c r="D35" s="291">
        <f t="shared" si="20"/>
        <v>32859</v>
      </c>
      <c r="E35" s="292">
        <v>32859</v>
      </c>
      <c r="F35" s="293"/>
      <c r="G35" s="294">
        <f t="shared" si="21"/>
        <v>33200</v>
      </c>
      <c r="H35" s="295">
        <v>33200</v>
      </c>
      <c r="I35" s="296"/>
      <c r="J35" s="297">
        <f t="shared" si="22"/>
        <v>33800</v>
      </c>
      <c r="K35" s="298">
        <v>33800</v>
      </c>
      <c r="L35" s="296"/>
      <c r="M35" s="297">
        <f t="shared" si="23"/>
        <v>35050</v>
      </c>
      <c r="N35" s="297">
        <v>35050</v>
      </c>
      <c r="O35" s="297"/>
      <c r="P35" s="306"/>
      <c r="Q35" s="284">
        <f t="shared" si="9"/>
        <v>101.80722891566265</v>
      </c>
      <c r="R35" s="284"/>
      <c r="S35" s="284">
        <f t="shared" si="2"/>
        <v>103.69822485207101</v>
      </c>
      <c r="T35" s="284"/>
      <c r="U35" s="285"/>
      <c r="V35" s="286">
        <f t="shared" si="3"/>
        <v>341</v>
      </c>
      <c r="W35" s="286">
        <f t="shared" si="4"/>
        <v>600</v>
      </c>
      <c r="X35" s="286">
        <f t="shared" si="5"/>
        <v>1250</v>
      </c>
      <c r="Y35" s="287"/>
    </row>
    <row r="36" spans="1:25" ht="60" customHeight="1" x14ac:dyDescent="0.25">
      <c r="A36" s="3"/>
      <c r="B36" s="3">
        <v>18010300</v>
      </c>
      <c r="C36" s="290" t="s">
        <v>317</v>
      </c>
      <c r="D36" s="291">
        <f t="shared" si="20"/>
        <v>28868</v>
      </c>
      <c r="E36" s="292">
        <v>28868</v>
      </c>
      <c r="F36" s="293"/>
      <c r="G36" s="294">
        <f t="shared" si="21"/>
        <v>29200</v>
      </c>
      <c r="H36" s="295">
        <v>29200</v>
      </c>
      <c r="I36" s="296"/>
      <c r="J36" s="297">
        <f t="shared" si="22"/>
        <v>30000</v>
      </c>
      <c r="K36" s="298">
        <v>30000</v>
      </c>
      <c r="L36" s="296"/>
      <c r="M36" s="297">
        <f t="shared" si="23"/>
        <v>31100</v>
      </c>
      <c r="N36" s="297">
        <v>31100</v>
      </c>
      <c r="O36" s="297"/>
      <c r="P36" s="307"/>
      <c r="Q36" s="284">
        <f t="shared" si="9"/>
        <v>102.73972602739725</v>
      </c>
      <c r="R36" s="284"/>
      <c r="S36" s="284">
        <f t="shared" si="2"/>
        <v>103.66666666666667</v>
      </c>
      <c r="T36" s="284"/>
      <c r="U36" s="285"/>
      <c r="V36" s="286">
        <f t="shared" si="3"/>
        <v>332</v>
      </c>
      <c r="W36" s="286">
        <f t="shared" si="4"/>
        <v>800</v>
      </c>
      <c r="X36" s="286">
        <f t="shared" si="5"/>
        <v>1100</v>
      </c>
      <c r="Y36" s="287"/>
    </row>
    <row r="37" spans="1:25" ht="57" customHeight="1" x14ac:dyDescent="0.25">
      <c r="A37" s="3"/>
      <c r="B37" s="3">
        <v>18010400</v>
      </c>
      <c r="C37" s="290" t="s">
        <v>318</v>
      </c>
      <c r="D37" s="291">
        <f t="shared" si="20"/>
        <v>1147773</v>
      </c>
      <c r="E37" s="292">
        <v>1147773</v>
      </c>
      <c r="F37" s="293"/>
      <c r="G37" s="294">
        <f t="shared" si="21"/>
        <v>1162700</v>
      </c>
      <c r="H37" s="295">
        <v>1162700</v>
      </c>
      <c r="I37" s="296"/>
      <c r="J37" s="297">
        <f t="shared" si="22"/>
        <v>1200000</v>
      </c>
      <c r="K37" s="298">
        <v>1200000</v>
      </c>
      <c r="L37" s="296"/>
      <c r="M37" s="297">
        <f t="shared" si="23"/>
        <v>1219200</v>
      </c>
      <c r="N37" s="297">
        <v>1219200</v>
      </c>
      <c r="O37" s="297"/>
      <c r="Q37" s="284">
        <f t="shared" si="9"/>
        <v>103.20805022791778</v>
      </c>
      <c r="R37" s="284"/>
      <c r="S37" s="284">
        <f t="shared" si="2"/>
        <v>101.6</v>
      </c>
      <c r="T37" s="284"/>
      <c r="U37" s="285"/>
      <c r="V37" s="286">
        <f t="shared" si="3"/>
        <v>14927</v>
      </c>
      <c r="W37" s="286">
        <f t="shared" si="4"/>
        <v>37300</v>
      </c>
      <c r="X37" s="286">
        <f t="shared" si="5"/>
        <v>19200</v>
      </c>
      <c r="Y37" s="287"/>
    </row>
    <row r="38" spans="1:25" ht="21" customHeight="1" x14ac:dyDescent="0.25">
      <c r="A38" s="3"/>
      <c r="B38" s="3">
        <v>18010500</v>
      </c>
      <c r="C38" s="290" t="s">
        <v>319</v>
      </c>
      <c r="D38" s="291">
        <f t="shared" si="20"/>
        <v>2927787</v>
      </c>
      <c r="E38" s="292">
        <v>2927787</v>
      </c>
      <c r="F38" s="293"/>
      <c r="G38" s="294">
        <f t="shared" si="21"/>
        <v>2965800</v>
      </c>
      <c r="H38" s="295">
        <v>2965800</v>
      </c>
      <c r="I38" s="296"/>
      <c r="J38" s="297">
        <f t="shared" si="22"/>
        <v>3001400</v>
      </c>
      <c r="K38" s="298">
        <v>3001400</v>
      </c>
      <c r="L38" s="296"/>
      <c r="M38" s="297">
        <f t="shared" si="23"/>
        <v>3080500</v>
      </c>
      <c r="N38" s="297">
        <v>3080500</v>
      </c>
      <c r="O38" s="297"/>
      <c r="Q38" s="284">
        <f t="shared" si="9"/>
        <v>101.200350664239</v>
      </c>
      <c r="R38" s="284"/>
      <c r="S38" s="284">
        <f t="shared" si="2"/>
        <v>102.6354367961618</v>
      </c>
      <c r="T38" s="284"/>
      <c r="U38" s="285"/>
      <c r="V38" s="286">
        <f t="shared" si="3"/>
        <v>38013</v>
      </c>
      <c r="W38" s="286">
        <f t="shared" si="4"/>
        <v>35600</v>
      </c>
      <c r="X38" s="286">
        <f t="shared" si="5"/>
        <v>79100</v>
      </c>
      <c r="Y38" s="287"/>
    </row>
    <row r="39" spans="1:25" ht="23.25" customHeight="1" x14ac:dyDescent="0.25">
      <c r="A39" s="3"/>
      <c r="B39" s="3">
        <v>18010600</v>
      </c>
      <c r="C39" s="290" t="s">
        <v>320</v>
      </c>
      <c r="D39" s="291">
        <f t="shared" si="20"/>
        <v>12696731</v>
      </c>
      <c r="E39" s="292">
        <v>12696731</v>
      </c>
      <c r="F39" s="293"/>
      <c r="G39" s="294">
        <f t="shared" si="21"/>
        <v>12861800</v>
      </c>
      <c r="H39" s="295">
        <v>12861800</v>
      </c>
      <c r="I39" s="296"/>
      <c r="J39" s="297">
        <f t="shared" si="22"/>
        <v>13500500</v>
      </c>
      <c r="K39" s="298">
        <v>13500500</v>
      </c>
      <c r="L39" s="296"/>
      <c r="M39" s="297">
        <f t="shared" si="23"/>
        <v>13700600</v>
      </c>
      <c r="N39" s="297">
        <v>13700600</v>
      </c>
      <c r="O39" s="297"/>
      <c r="Q39" s="284">
        <f t="shared" si="9"/>
        <v>104.9658679189538</v>
      </c>
      <c r="R39" s="284"/>
      <c r="S39" s="284">
        <f t="shared" si="2"/>
        <v>101.48216732713603</v>
      </c>
      <c r="T39" s="284"/>
      <c r="U39" s="285"/>
      <c r="V39" s="286">
        <f t="shared" si="3"/>
        <v>165069</v>
      </c>
      <c r="W39" s="286">
        <f t="shared" si="4"/>
        <v>638700</v>
      </c>
      <c r="X39" s="286">
        <f t="shared" si="5"/>
        <v>200100</v>
      </c>
      <c r="Y39" s="287"/>
    </row>
    <row r="40" spans="1:25" ht="21.75" customHeight="1" x14ac:dyDescent="0.25">
      <c r="A40" s="3"/>
      <c r="B40" s="3">
        <v>18010700</v>
      </c>
      <c r="C40" s="290" t="s">
        <v>321</v>
      </c>
      <c r="D40" s="291">
        <f t="shared" si="20"/>
        <v>744254</v>
      </c>
      <c r="E40" s="292">
        <v>744254</v>
      </c>
      <c r="F40" s="293"/>
      <c r="G40" s="294">
        <f t="shared" si="21"/>
        <v>753900</v>
      </c>
      <c r="H40" s="295">
        <v>753900</v>
      </c>
      <c r="I40" s="296"/>
      <c r="J40" s="297">
        <f t="shared" si="22"/>
        <v>76800</v>
      </c>
      <c r="K40" s="298">
        <v>76800</v>
      </c>
      <c r="L40" s="296"/>
      <c r="M40" s="297">
        <f t="shared" si="23"/>
        <v>78300</v>
      </c>
      <c r="N40" s="297">
        <v>78300</v>
      </c>
      <c r="O40" s="297"/>
      <c r="Q40" s="284">
        <f t="shared" si="9"/>
        <v>10.187027457222444</v>
      </c>
      <c r="R40" s="284"/>
      <c r="S40" s="284">
        <f t="shared" si="2"/>
        <v>101.953125</v>
      </c>
      <c r="T40" s="284"/>
      <c r="U40" s="285"/>
      <c r="V40" s="286">
        <f t="shared" si="3"/>
        <v>9646</v>
      </c>
      <c r="W40" s="286">
        <f t="shared" si="4"/>
        <v>-677100</v>
      </c>
      <c r="X40" s="286">
        <f t="shared" si="5"/>
        <v>1500</v>
      </c>
      <c r="Y40" s="287"/>
    </row>
    <row r="41" spans="1:25" ht="22.5" customHeight="1" x14ac:dyDescent="0.25">
      <c r="A41" s="3"/>
      <c r="B41" s="3">
        <v>18010900</v>
      </c>
      <c r="C41" s="290" t="s">
        <v>322</v>
      </c>
      <c r="D41" s="291">
        <f t="shared" si="20"/>
        <v>2193155</v>
      </c>
      <c r="E41" s="292">
        <v>2193155</v>
      </c>
      <c r="F41" s="293"/>
      <c r="G41" s="294">
        <f t="shared" si="21"/>
        <v>2221600</v>
      </c>
      <c r="H41" s="295">
        <v>2221600</v>
      </c>
      <c r="I41" s="296"/>
      <c r="J41" s="297">
        <f t="shared" si="22"/>
        <v>2250000</v>
      </c>
      <c r="K41" s="298">
        <v>2250000</v>
      </c>
      <c r="L41" s="296"/>
      <c r="M41" s="297">
        <f t="shared" si="23"/>
        <v>2290500</v>
      </c>
      <c r="N41" s="297">
        <v>2290500</v>
      </c>
      <c r="O41" s="297"/>
      <c r="Q41" s="284">
        <f t="shared" si="9"/>
        <v>101.27835794022326</v>
      </c>
      <c r="R41" s="284"/>
      <c r="S41" s="284">
        <f t="shared" si="2"/>
        <v>101.8</v>
      </c>
      <c r="T41" s="284"/>
      <c r="U41" s="285"/>
      <c r="V41" s="286">
        <f t="shared" si="3"/>
        <v>28445</v>
      </c>
      <c r="W41" s="286">
        <f t="shared" si="4"/>
        <v>28400</v>
      </c>
      <c r="X41" s="286">
        <f t="shared" si="5"/>
        <v>40500</v>
      </c>
      <c r="Y41" s="287"/>
    </row>
    <row r="42" spans="1:25" s="283" customFormat="1" ht="22.5" customHeight="1" x14ac:dyDescent="0.25">
      <c r="A42" s="272"/>
      <c r="B42" s="3">
        <v>18011000</v>
      </c>
      <c r="C42" s="290" t="s">
        <v>323</v>
      </c>
      <c r="D42" s="291">
        <f t="shared" si="20"/>
        <v>17872</v>
      </c>
      <c r="E42" s="292">
        <v>17872</v>
      </c>
      <c r="F42" s="293"/>
      <c r="G42" s="294">
        <f t="shared" si="21"/>
        <v>17900</v>
      </c>
      <c r="H42" s="295">
        <v>17900</v>
      </c>
      <c r="I42" s="296"/>
      <c r="J42" s="297">
        <f t="shared" si="22"/>
        <v>18200</v>
      </c>
      <c r="K42" s="298">
        <v>18200</v>
      </c>
      <c r="L42" s="296"/>
      <c r="M42" s="297">
        <f t="shared" si="23"/>
        <v>18500</v>
      </c>
      <c r="N42" s="297">
        <v>18500</v>
      </c>
      <c r="O42" s="297"/>
      <c r="Q42" s="284">
        <f t="shared" si="9"/>
        <v>101.67597765363128</v>
      </c>
      <c r="R42" s="284"/>
      <c r="S42" s="284">
        <f t="shared" si="2"/>
        <v>101.64835164835165</v>
      </c>
      <c r="T42" s="284"/>
      <c r="U42" s="285"/>
      <c r="V42" s="286">
        <f t="shared" si="3"/>
        <v>28</v>
      </c>
      <c r="W42" s="286">
        <f t="shared" si="4"/>
        <v>300</v>
      </c>
      <c r="X42" s="286">
        <f t="shared" si="5"/>
        <v>300</v>
      </c>
      <c r="Y42" s="287"/>
    </row>
    <row r="43" spans="1:25" s="283" customFormat="1" ht="25.5" customHeight="1" x14ac:dyDescent="0.25">
      <c r="A43" s="272"/>
      <c r="B43" s="3">
        <v>18011100</v>
      </c>
      <c r="C43" s="290" t="s">
        <v>324</v>
      </c>
      <c r="D43" s="291">
        <f t="shared" si="20"/>
        <v>79749</v>
      </c>
      <c r="E43" s="292">
        <v>79749</v>
      </c>
      <c r="F43" s="293"/>
      <c r="G43" s="294">
        <f t="shared" si="21"/>
        <v>80300</v>
      </c>
      <c r="H43" s="295">
        <v>80300</v>
      </c>
      <c r="I43" s="296"/>
      <c r="J43" s="297">
        <f t="shared" si="22"/>
        <v>81600</v>
      </c>
      <c r="K43" s="298">
        <v>81600</v>
      </c>
      <c r="L43" s="296"/>
      <c r="M43" s="297">
        <f t="shared" si="23"/>
        <v>83100</v>
      </c>
      <c r="N43" s="297">
        <v>83100</v>
      </c>
      <c r="O43" s="297"/>
      <c r="Q43" s="284">
        <f t="shared" si="9"/>
        <v>101.61892901618928</v>
      </c>
      <c r="R43" s="284"/>
      <c r="S43" s="284">
        <f t="shared" si="2"/>
        <v>101.83823529411765</v>
      </c>
      <c r="T43" s="284"/>
      <c r="U43" s="285"/>
      <c r="V43" s="286">
        <f t="shared" si="3"/>
        <v>551</v>
      </c>
      <c r="W43" s="286">
        <f t="shared" si="4"/>
        <v>1300</v>
      </c>
      <c r="X43" s="286">
        <f t="shared" si="5"/>
        <v>1500</v>
      </c>
      <c r="Y43" s="287"/>
    </row>
    <row r="44" spans="1:25" s="283" customFormat="1" ht="21.75" customHeight="1" x14ac:dyDescent="0.25">
      <c r="A44" s="272"/>
      <c r="B44" s="272">
        <v>18050000</v>
      </c>
      <c r="C44" s="273" t="s">
        <v>325</v>
      </c>
      <c r="D44" s="274">
        <f>D45+D46+D47</f>
        <v>15990628</v>
      </c>
      <c r="E44" s="275">
        <f>E45+E46+E47</f>
        <v>15990628</v>
      </c>
      <c r="F44" s="276">
        <f>F45+F46+F47</f>
        <v>0</v>
      </c>
      <c r="G44" s="277">
        <f t="shared" ref="G44:O44" si="24">G45+G46+G47</f>
        <v>16582180</v>
      </c>
      <c r="H44" s="278">
        <f t="shared" si="24"/>
        <v>16582180</v>
      </c>
      <c r="I44" s="279">
        <f t="shared" si="24"/>
        <v>0</v>
      </c>
      <c r="J44" s="288">
        <f t="shared" si="24"/>
        <v>17191300</v>
      </c>
      <c r="K44" s="289">
        <f t="shared" si="24"/>
        <v>17191300</v>
      </c>
      <c r="L44" s="279">
        <f t="shared" si="24"/>
        <v>0</v>
      </c>
      <c r="M44" s="288">
        <f t="shared" si="24"/>
        <v>17604100</v>
      </c>
      <c r="N44" s="288">
        <f t="shared" si="24"/>
        <v>17604100</v>
      </c>
      <c r="O44" s="288">
        <f t="shared" si="24"/>
        <v>0</v>
      </c>
      <c r="Q44" s="284">
        <f t="shared" si="9"/>
        <v>103.67334089968871</v>
      </c>
      <c r="R44" s="284"/>
      <c r="S44" s="284">
        <f t="shared" si="2"/>
        <v>102.40121456783373</v>
      </c>
      <c r="T44" s="284"/>
      <c r="U44" s="285"/>
      <c r="V44" s="286">
        <f t="shared" si="3"/>
        <v>591552</v>
      </c>
      <c r="W44" s="286">
        <f t="shared" si="4"/>
        <v>609120</v>
      </c>
      <c r="X44" s="286">
        <f t="shared" si="5"/>
        <v>412800</v>
      </c>
      <c r="Y44" s="287"/>
    </row>
    <row r="45" spans="1:25" ht="24" customHeight="1" x14ac:dyDescent="0.25">
      <c r="A45" s="3"/>
      <c r="B45" s="3">
        <v>18050300</v>
      </c>
      <c r="C45" s="290" t="s">
        <v>326</v>
      </c>
      <c r="D45" s="291">
        <f>E45+F45</f>
        <v>437873</v>
      </c>
      <c r="E45" s="292">
        <v>437873</v>
      </c>
      <c r="F45" s="293"/>
      <c r="G45" s="294">
        <f>H45+I45</f>
        <v>454000</v>
      </c>
      <c r="H45" s="295">
        <v>454000</v>
      </c>
      <c r="I45" s="296"/>
      <c r="J45" s="297">
        <f>K45+L45</f>
        <v>470800</v>
      </c>
      <c r="K45" s="298">
        <v>470800</v>
      </c>
      <c r="L45" s="296"/>
      <c r="M45" s="297">
        <f>N45+O45</f>
        <v>483500</v>
      </c>
      <c r="N45" s="297">
        <v>483500</v>
      </c>
      <c r="O45" s="297"/>
      <c r="Q45" s="284">
        <f t="shared" si="9"/>
        <v>103.70044052863436</v>
      </c>
      <c r="R45" s="284"/>
      <c r="S45" s="284">
        <f t="shared" si="2"/>
        <v>102.69753610875107</v>
      </c>
      <c r="T45" s="284"/>
      <c r="U45" s="285"/>
      <c r="V45" s="286">
        <f t="shared" si="3"/>
        <v>16127</v>
      </c>
      <c r="W45" s="286">
        <f t="shared" si="4"/>
        <v>16800</v>
      </c>
      <c r="X45" s="286">
        <f t="shared" si="5"/>
        <v>12700</v>
      </c>
      <c r="Y45" s="287"/>
    </row>
    <row r="46" spans="1:25" ht="19.5" customHeight="1" x14ac:dyDescent="0.25">
      <c r="A46" s="3"/>
      <c r="B46" s="3">
        <v>18050400</v>
      </c>
      <c r="C46" s="290" t="s">
        <v>327</v>
      </c>
      <c r="D46" s="291">
        <f>E46+F46</f>
        <v>8129780</v>
      </c>
      <c r="E46" s="292">
        <v>8129780</v>
      </c>
      <c r="F46" s="293"/>
      <c r="G46" s="294">
        <f>H46+I46</f>
        <v>8430580</v>
      </c>
      <c r="H46" s="295">
        <v>8430580</v>
      </c>
      <c r="I46" s="296"/>
      <c r="J46" s="297">
        <f>K46+L46</f>
        <v>8740000</v>
      </c>
      <c r="K46" s="298">
        <v>8740000</v>
      </c>
      <c r="L46" s="296"/>
      <c r="M46" s="297">
        <f>N46+O46</f>
        <v>8990600</v>
      </c>
      <c r="N46" s="297">
        <v>8990600</v>
      </c>
      <c r="O46" s="297"/>
      <c r="Q46" s="284">
        <f t="shared" si="9"/>
        <v>103.67021011602998</v>
      </c>
      <c r="R46" s="284"/>
      <c r="S46" s="284">
        <f t="shared" si="2"/>
        <v>102.86727688787185</v>
      </c>
      <c r="T46" s="284"/>
      <c r="U46" s="285"/>
      <c r="V46" s="286">
        <f t="shared" si="3"/>
        <v>300800</v>
      </c>
      <c r="W46" s="286">
        <f t="shared" si="4"/>
        <v>309420</v>
      </c>
      <c r="X46" s="286">
        <f t="shared" si="5"/>
        <v>250600</v>
      </c>
      <c r="Y46" s="287"/>
    </row>
    <row r="47" spans="1:25" ht="85.5" customHeight="1" x14ac:dyDescent="0.25">
      <c r="A47" s="3"/>
      <c r="B47" s="3">
        <v>18050500</v>
      </c>
      <c r="C47" s="290" t="s">
        <v>328</v>
      </c>
      <c r="D47" s="291">
        <f>E47+F47</f>
        <v>7422975</v>
      </c>
      <c r="E47" s="292">
        <v>7422975</v>
      </c>
      <c r="F47" s="293"/>
      <c r="G47" s="294">
        <f>H47+I47</f>
        <v>7697600</v>
      </c>
      <c r="H47" s="295">
        <v>7697600</v>
      </c>
      <c r="I47" s="296"/>
      <c r="J47" s="297">
        <f>K47+L47</f>
        <v>7980500</v>
      </c>
      <c r="K47" s="298">
        <v>7980500</v>
      </c>
      <c r="L47" s="296"/>
      <c r="M47" s="297">
        <f>N47+O47</f>
        <v>8130000</v>
      </c>
      <c r="N47" s="297">
        <v>8130000</v>
      </c>
      <c r="O47" s="297"/>
      <c r="Q47" s="284">
        <f t="shared" si="9"/>
        <v>103.67517148202037</v>
      </c>
      <c r="R47" s="284"/>
      <c r="S47" s="284">
        <f t="shared" si="2"/>
        <v>101.87331620825763</v>
      </c>
      <c r="T47" s="284"/>
      <c r="U47" s="285"/>
      <c r="V47" s="286">
        <f t="shared" si="3"/>
        <v>274625</v>
      </c>
      <c r="W47" s="286">
        <f t="shared" si="4"/>
        <v>282900</v>
      </c>
      <c r="X47" s="286">
        <f t="shared" si="5"/>
        <v>149500</v>
      </c>
      <c r="Y47" s="287"/>
    </row>
    <row r="48" spans="1:25" s="283" customFormat="1" ht="24" customHeight="1" x14ac:dyDescent="0.25">
      <c r="A48" s="272"/>
      <c r="B48" s="308">
        <v>19000000</v>
      </c>
      <c r="C48" s="273" t="s">
        <v>329</v>
      </c>
      <c r="D48" s="274">
        <f>D49</f>
        <v>74500</v>
      </c>
      <c r="E48" s="275">
        <f>E49</f>
        <v>0</v>
      </c>
      <c r="F48" s="276">
        <f>F49</f>
        <v>74500</v>
      </c>
      <c r="G48" s="277">
        <f t="shared" ref="G48:O48" si="25">G49</f>
        <v>75700</v>
      </c>
      <c r="H48" s="278">
        <f t="shared" si="25"/>
        <v>0</v>
      </c>
      <c r="I48" s="279">
        <f t="shared" si="25"/>
        <v>75700</v>
      </c>
      <c r="J48" s="288">
        <f t="shared" si="25"/>
        <v>76500</v>
      </c>
      <c r="K48" s="289">
        <f t="shared" si="25"/>
        <v>0</v>
      </c>
      <c r="L48" s="279">
        <f t="shared" si="25"/>
        <v>76500</v>
      </c>
      <c r="M48" s="288">
        <f t="shared" si="25"/>
        <v>77300</v>
      </c>
      <c r="N48" s="288">
        <f t="shared" si="25"/>
        <v>0</v>
      </c>
      <c r="O48" s="288">
        <f t="shared" si="25"/>
        <v>77300</v>
      </c>
      <c r="Q48" s="284"/>
      <c r="R48" s="284">
        <f t="shared" ref="R48:R53" si="26">L48/I48%</f>
        <v>101.05680317040951</v>
      </c>
      <c r="S48" s="284"/>
      <c r="T48" s="284">
        <f t="shared" ref="T48:T53" si="27">O48/L48%</f>
        <v>101.04575163398692</v>
      </c>
      <c r="U48" s="285"/>
      <c r="V48" s="286">
        <f t="shared" si="3"/>
        <v>1200</v>
      </c>
      <c r="W48" s="286">
        <f t="shared" si="4"/>
        <v>800</v>
      </c>
      <c r="X48" s="286">
        <f t="shared" si="5"/>
        <v>800</v>
      </c>
      <c r="Y48" s="287"/>
    </row>
    <row r="49" spans="1:25" s="283" customFormat="1" ht="21.75" customHeight="1" x14ac:dyDescent="0.25">
      <c r="A49" s="272"/>
      <c r="B49" s="308">
        <v>19010000</v>
      </c>
      <c r="C49" s="273" t="s">
        <v>330</v>
      </c>
      <c r="D49" s="274">
        <f>D50+D51+D52</f>
        <v>74500</v>
      </c>
      <c r="E49" s="275">
        <f>E50+E51+E52</f>
        <v>0</v>
      </c>
      <c r="F49" s="276">
        <f>F50+F51+F52</f>
        <v>74500</v>
      </c>
      <c r="G49" s="277">
        <f t="shared" ref="G49:O49" si="28">G50+G51+G52</f>
        <v>75700</v>
      </c>
      <c r="H49" s="278">
        <f t="shared" si="28"/>
        <v>0</v>
      </c>
      <c r="I49" s="279">
        <f t="shared" si="28"/>
        <v>75700</v>
      </c>
      <c r="J49" s="288">
        <f t="shared" si="28"/>
        <v>76500</v>
      </c>
      <c r="K49" s="289">
        <f t="shared" si="28"/>
        <v>0</v>
      </c>
      <c r="L49" s="279">
        <f t="shared" si="28"/>
        <v>76500</v>
      </c>
      <c r="M49" s="288">
        <f t="shared" si="28"/>
        <v>77300</v>
      </c>
      <c r="N49" s="288">
        <f t="shared" si="28"/>
        <v>0</v>
      </c>
      <c r="O49" s="288">
        <f t="shared" si="28"/>
        <v>77300</v>
      </c>
      <c r="Q49" s="284"/>
      <c r="R49" s="284">
        <f t="shared" si="26"/>
        <v>101.05680317040951</v>
      </c>
      <c r="S49" s="284"/>
      <c r="T49" s="284">
        <f t="shared" si="27"/>
        <v>101.04575163398692</v>
      </c>
      <c r="U49" s="285"/>
      <c r="V49" s="286">
        <f t="shared" si="3"/>
        <v>1200</v>
      </c>
      <c r="W49" s="286">
        <f t="shared" si="4"/>
        <v>800</v>
      </c>
      <c r="X49" s="286">
        <f t="shared" si="5"/>
        <v>800</v>
      </c>
      <c r="Y49" s="287"/>
    </row>
    <row r="50" spans="1:25" ht="69" customHeight="1" x14ac:dyDescent="0.25">
      <c r="A50" s="3"/>
      <c r="B50" s="309">
        <v>19010100</v>
      </c>
      <c r="C50" s="290" t="s">
        <v>331</v>
      </c>
      <c r="D50" s="291">
        <f>E50+F50</f>
        <v>47500</v>
      </c>
      <c r="E50" s="292"/>
      <c r="F50" s="293">
        <v>47500</v>
      </c>
      <c r="G50" s="294">
        <f>H50+I50</f>
        <v>48000</v>
      </c>
      <c r="H50" s="295"/>
      <c r="I50" s="296">
        <v>48000</v>
      </c>
      <c r="J50" s="297">
        <f>K50+L50</f>
        <v>48500</v>
      </c>
      <c r="K50" s="298"/>
      <c r="L50" s="296">
        <v>48500</v>
      </c>
      <c r="M50" s="297">
        <f>N50+O50</f>
        <v>48900</v>
      </c>
      <c r="N50" s="297"/>
      <c r="O50" s="297">
        <v>48900</v>
      </c>
      <c r="Q50" s="284"/>
      <c r="R50" s="284">
        <f t="shared" si="26"/>
        <v>101.04166666666667</v>
      </c>
      <c r="S50" s="284"/>
      <c r="T50" s="284">
        <f t="shared" si="27"/>
        <v>100.82474226804123</v>
      </c>
      <c r="U50" s="285"/>
      <c r="V50" s="286">
        <f t="shared" si="3"/>
        <v>500</v>
      </c>
      <c r="W50" s="286">
        <f t="shared" si="4"/>
        <v>500</v>
      </c>
      <c r="X50" s="286">
        <f t="shared" si="5"/>
        <v>400</v>
      </c>
      <c r="Y50" s="287"/>
    </row>
    <row r="51" spans="1:25" ht="39.75" customHeight="1" x14ac:dyDescent="0.25">
      <c r="A51" s="3"/>
      <c r="B51" s="309">
        <v>19010200</v>
      </c>
      <c r="C51" s="290" t="s">
        <v>332</v>
      </c>
      <c r="D51" s="291">
        <f>E51+F51</f>
        <v>9700</v>
      </c>
      <c r="E51" s="292"/>
      <c r="F51" s="293">
        <v>9700</v>
      </c>
      <c r="G51" s="294">
        <f>H51+I51</f>
        <v>10100</v>
      </c>
      <c r="H51" s="295"/>
      <c r="I51" s="296">
        <v>10100</v>
      </c>
      <c r="J51" s="297">
        <f>K51+L51</f>
        <v>10200</v>
      </c>
      <c r="K51" s="298"/>
      <c r="L51" s="296">
        <v>10200</v>
      </c>
      <c r="M51" s="297">
        <f>N51+O51</f>
        <v>10300</v>
      </c>
      <c r="N51" s="297"/>
      <c r="O51" s="297">
        <v>10300</v>
      </c>
      <c r="Q51" s="284"/>
      <c r="R51" s="284">
        <f t="shared" si="26"/>
        <v>100.99009900990099</v>
      </c>
      <c r="S51" s="284"/>
      <c r="T51" s="284">
        <f t="shared" si="27"/>
        <v>100.98039215686275</v>
      </c>
      <c r="U51" s="285"/>
      <c r="V51" s="286">
        <f t="shared" si="3"/>
        <v>400</v>
      </c>
      <c r="W51" s="286">
        <f t="shared" si="4"/>
        <v>100</v>
      </c>
      <c r="X51" s="286">
        <f t="shared" si="5"/>
        <v>100</v>
      </c>
      <c r="Y51" s="287"/>
    </row>
    <row r="52" spans="1:25" ht="68.25" customHeight="1" x14ac:dyDescent="0.25">
      <c r="A52" s="3"/>
      <c r="B52" s="309">
        <v>19010300</v>
      </c>
      <c r="C52" s="290" t="s">
        <v>333</v>
      </c>
      <c r="D52" s="291">
        <f>E52+F52</f>
        <v>17300</v>
      </c>
      <c r="E52" s="292"/>
      <c r="F52" s="293">
        <v>17300</v>
      </c>
      <c r="G52" s="294">
        <f>H52+I52</f>
        <v>17600</v>
      </c>
      <c r="H52" s="295"/>
      <c r="I52" s="296">
        <v>17600</v>
      </c>
      <c r="J52" s="297">
        <f>K52+L52</f>
        <v>17800</v>
      </c>
      <c r="K52" s="298"/>
      <c r="L52" s="296">
        <v>17800</v>
      </c>
      <c r="M52" s="297">
        <f>N52+O52</f>
        <v>18100</v>
      </c>
      <c r="N52" s="297"/>
      <c r="O52" s="297">
        <v>18100</v>
      </c>
      <c r="Q52" s="284"/>
      <c r="R52" s="284">
        <f t="shared" si="26"/>
        <v>101.13636363636364</v>
      </c>
      <c r="S52" s="284"/>
      <c r="T52" s="284">
        <f t="shared" si="27"/>
        <v>101.68539325842697</v>
      </c>
      <c r="U52" s="285"/>
      <c r="V52" s="286">
        <f t="shared" si="3"/>
        <v>300</v>
      </c>
      <c r="W52" s="286">
        <f t="shared" si="4"/>
        <v>200</v>
      </c>
      <c r="X52" s="286">
        <f t="shared" si="5"/>
        <v>300</v>
      </c>
      <c r="Y52" s="287"/>
    </row>
    <row r="53" spans="1:25" s="283" customFormat="1" ht="24" customHeight="1" x14ac:dyDescent="0.25">
      <c r="A53" s="272"/>
      <c r="B53" s="272">
        <v>20000000</v>
      </c>
      <c r="C53" s="273" t="s">
        <v>334</v>
      </c>
      <c r="D53" s="274">
        <f>D54+D58+D69+D76</f>
        <v>9289041</v>
      </c>
      <c r="E53" s="275">
        <f>E54+E58+E69+E76</f>
        <v>1074341</v>
      </c>
      <c r="F53" s="276">
        <f>F54+F58+F69+F76</f>
        <v>8214700</v>
      </c>
      <c r="G53" s="277">
        <f>G54+G58+G69+G76</f>
        <v>2551193</v>
      </c>
      <c r="H53" s="278">
        <f t="shared" ref="H53:O53" si="29">H54+H58+H69+H76</f>
        <v>1075000</v>
      </c>
      <c r="I53" s="279">
        <f t="shared" si="29"/>
        <v>1476193</v>
      </c>
      <c r="J53" s="288">
        <f t="shared" si="29"/>
        <v>2454900</v>
      </c>
      <c r="K53" s="289">
        <f t="shared" si="29"/>
        <v>970900</v>
      </c>
      <c r="L53" s="279">
        <f t="shared" si="29"/>
        <v>1484000</v>
      </c>
      <c r="M53" s="288">
        <f t="shared" si="29"/>
        <v>2478200</v>
      </c>
      <c r="N53" s="288">
        <f t="shared" si="29"/>
        <v>985300</v>
      </c>
      <c r="O53" s="288">
        <f t="shared" si="29"/>
        <v>1492900</v>
      </c>
      <c r="Q53" s="284">
        <f t="shared" si="9"/>
        <v>90.316279069767447</v>
      </c>
      <c r="R53" s="284">
        <f t="shared" si="26"/>
        <v>100.52886038614191</v>
      </c>
      <c r="S53" s="284">
        <f t="shared" si="2"/>
        <v>101.48315995468123</v>
      </c>
      <c r="T53" s="284">
        <f t="shared" si="27"/>
        <v>100.59973045822102</v>
      </c>
      <c r="U53" s="285"/>
      <c r="V53" s="286">
        <f t="shared" si="3"/>
        <v>-6737848</v>
      </c>
      <c r="W53" s="286">
        <f t="shared" si="4"/>
        <v>-96293</v>
      </c>
      <c r="X53" s="286">
        <f t="shared" si="5"/>
        <v>23300</v>
      </c>
      <c r="Y53" s="287"/>
    </row>
    <row r="54" spans="1:25" s="283" customFormat="1" ht="35.25" customHeight="1" x14ac:dyDescent="0.25">
      <c r="A54" s="272"/>
      <c r="B54" s="272">
        <v>21000000</v>
      </c>
      <c r="C54" s="273" t="s">
        <v>335</v>
      </c>
      <c r="D54" s="274">
        <f>D55</f>
        <v>185490</v>
      </c>
      <c r="E54" s="275">
        <f>E55</f>
        <v>185490</v>
      </c>
      <c r="F54" s="276">
        <f>F55</f>
        <v>0</v>
      </c>
      <c r="G54" s="277">
        <f t="shared" ref="G54:O54" si="30">G55</f>
        <v>185700</v>
      </c>
      <c r="H54" s="278">
        <f t="shared" si="30"/>
        <v>185700</v>
      </c>
      <c r="I54" s="279">
        <f t="shared" si="30"/>
        <v>0</v>
      </c>
      <c r="J54" s="288">
        <f t="shared" si="30"/>
        <v>75000</v>
      </c>
      <c r="K54" s="289">
        <f t="shared" si="30"/>
        <v>75000</v>
      </c>
      <c r="L54" s="279">
        <f t="shared" si="30"/>
        <v>0</v>
      </c>
      <c r="M54" s="288">
        <f t="shared" si="30"/>
        <v>76300</v>
      </c>
      <c r="N54" s="288">
        <f t="shared" si="30"/>
        <v>76300</v>
      </c>
      <c r="O54" s="288">
        <f t="shared" si="30"/>
        <v>0</v>
      </c>
      <c r="Q54" s="284">
        <f t="shared" si="9"/>
        <v>40.38772213247173</v>
      </c>
      <c r="R54" s="284"/>
      <c r="S54" s="284">
        <f t="shared" si="2"/>
        <v>101.73333333333333</v>
      </c>
      <c r="T54" s="284"/>
      <c r="U54" s="285"/>
      <c r="V54" s="286">
        <f t="shared" si="3"/>
        <v>210</v>
      </c>
      <c r="W54" s="286">
        <f t="shared" si="4"/>
        <v>-110700</v>
      </c>
      <c r="X54" s="286">
        <f t="shared" si="5"/>
        <v>1300</v>
      </c>
      <c r="Y54" s="287"/>
    </row>
    <row r="55" spans="1:25" s="283" customFormat="1" ht="22.5" customHeight="1" x14ac:dyDescent="0.25">
      <c r="A55" s="272"/>
      <c r="B55" s="272">
        <v>21080000</v>
      </c>
      <c r="C55" s="273" t="s">
        <v>336</v>
      </c>
      <c r="D55" s="274">
        <f>D56+D57</f>
        <v>185490</v>
      </c>
      <c r="E55" s="275">
        <f>E56+E57</f>
        <v>185490</v>
      </c>
      <c r="F55" s="276">
        <f>F56+F57</f>
        <v>0</v>
      </c>
      <c r="G55" s="277">
        <f t="shared" ref="G55:O55" si="31">G56+G57</f>
        <v>185700</v>
      </c>
      <c r="H55" s="278">
        <f t="shared" si="31"/>
        <v>185700</v>
      </c>
      <c r="I55" s="279">
        <f t="shared" si="31"/>
        <v>0</v>
      </c>
      <c r="J55" s="288">
        <f t="shared" si="31"/>
        <v>75000</v>
      </c>
      <c r="K55" s="289">
        <f t="shared" si="31"/>
        <v>75000</v>
      </c>
      <c r="L55" s="279">
        <f t="shared" si="31"/>
        <v>0</v>
      </c>
      <c r="M55" s="288">
        <f t="shared" si="31"/>
        <v>76300</v>
      </c>
      <c r="N55" s="288">
        <f t="shared" si="31"/>
        <v>76300</v>
      </c>
      <c r="O55" s="288">
        <f t="shared" si="31"/>
        <v>0</v>
      </c>
      <c r="Q55" s="284">
        <f t="shared" si="9"/>
        <v>40.38772213247173</v>
      </c>
      <c r="R55" s="284"/>
      <c r="S55" s="284">
        <f t="shared" si="2"/>
        <v>101.73333333333333</v>
      </c>
      <c r="T55" s="284"/>
      <c r="U55" s="285"/>
      <c r="V55" s="286">
        <f t="shared" si="3"/>
        <v>210</v>
      </c>
      <c r="W55" s="286">
        <f t="shared" si="4"/>
        <v>-110700</v>
      </c>
      <c r="X55" s="286">
        <f t="shared" si="5"/>
        <v>1300</v>
      </c>
      <c r="Y55" s="287"/>
    </row>
    <row r="56" spans="1:25" ht="29.25" customHeight="1" x14ac:dyDescent="0.25">
      <c r="A56" s="3"/>
      <c r="B56" s="3">
        <v>21081100</v>
      </c>
      <c r="C56" s="290" t="s">
        <v>337</v>
      </c>
      <c r="D56" s="291">
        <f>E56+F56</f>
        <v>62132</v>
      </c>
      <c r="E56" s="292">
        <v>62132</v>
      </c>
      <c r="F56" s="293"/>
      <c r="G56" s="294">
        <f>H56+I56</f>
        <v>62200</v>
      </c>
      <c r="H56" s="295">
        <v>62200</v>
      </c>
      <c r="I56" s="296"/>
      <c r="J56" s="297">
        <f>K56+L56</f>
        <v>62400</v>
      </c>
      <c r="K56" s="298">
        <v>62400</v>
      </c>
      <c r="L56" s="296"/>
      <c r="M56" s="297">
        <f>N56+O56</f>
        <v>63500</v>
      </c>
      <c r="N56" s="297">
        <v>63500</v>
      </c>
      <c r="O56" s="297"/>
      <c r="Q56" s="284">
        <f t="shared" si="9"/>
        <v>100.32154340836013</v>
      </c>
      <c r="R56" s="284"/>
      <c r="S56" s="284">
        <f t="shared" si="2"/>
        <v>101.76282051282051</v>
      </c>
      <c r="T56" s="284"/>
      <c r="U56" s="285"/>
      <c r="V56" s="286">
        <f t="shared" si="3"/>
        <v>68</v>
      </c>
      <c r="W56" s="286">
        <f t="shared" si="4"/>
        <v>200</v>
      </c>
      <c r="X56" s="286">
        <f t="shared" si="5"/>
        <v>1100</v>
      </c>
      <c r="Y56" s="287"/>
    </row>
    <row r="57" spans="1:25" ht="53.25" customHeight="1" x14ac:dyDescent="0.25">
      <c r="A57" s="3"/>
      <c r="B57" s="3">
        <v>21081500</v>
      </c>
      <c r="C57" s="290" t="s">
        <v>338</v>
      </c>
      <c r="D57" s="291">
        <f>E57+F57</f>
        <v>123358</v>
      </c>
      <c r="E57" s="292">
        <v>123358</v>
      </c>
      <c r="F57" s="293"/>
      <c r="G57" s="294">
        <f>H57+I57</f>
        <v>123500</v>
      </c>
      <c r="H57" s="295">
        <v>123500</v>
      </c>
      <c r="I57" s="296"/>
      <c r="J57" s="297">
        <f>K57+L57</f>
        <v>12600</v>
      </c>
      <c r="K57" s="298">
        <v>12600</v>
      </c>
      <c r="L57" s="296"/>
      <c r="M57" s="297">
        <f>N57+O57</f>
        <v>12800</v>
      </c>
      <c r="N57" s="297">
        <v>12800</v>
      </c>
      <c r="O57" s="297"/>
      <c r="Q57" s="284">
        <f t="shared" si="9"/>
        <v>10.20242914979757</v>
      </c>
      <c r="R57" s="284"/>
      <c r="S57" s="284">
        <f t="shared" si="2"/>
        <v>101.58730158730158</v>
      </c>
      <c r="T57" s="284"/>
      <c r="U57" s="285"/>
      <c r="V57" s="286">
        <f t="shared" si="3"/>
        <v>142</v>
      </c>
      <c r="W57" s="286">
        <f t="shared" si="4"/>
        <v>-110900</v>
      </c>
      <c r="X57" s="286">
        <f t="shared" si="5"/>
        <v>200</v>
      </c>
      <c r="Y57" s="287"/>
    </row>
    <row r="58" spans="1:25" s="283" customFormat="1" ht="42.75" customHeight="1" x14ac:dyDescent="0.25">
      <c r="A58" s="272"/>
      <c r="B58" s="272">
        <v>22000000</v>
      </c>
      <c r="C58" s="273" t="s">
        <v>339</v>
      </c>
      <c r="D58" s="274">
        <f>D59+D63+D65</f>
        <v>888851</v>
      </c>
      <c r="E58" s="275">
        <f>E59+E63+E65</f>
        <v>888851</v>
      </c>
      <c r="F58" s="276">
        <f>F59+F63+F65</f>
        <v>0</v>
      </c>
      <c r="G58" s="277">
        <f t="shared" ref="G58:O58" si="32">G59+G63+G65</f>
        <v>889300</v>
      </c>
      <c r="H58" s="278">
        <f t="shared" si="32"/>
        <v>889300</v>
      </c>
      <c r="I58" s="279">
        <f t="shared" si="32"/>
        <v>0</v>
      </c>
      <c r="J58" s="288">
        <f t="shared" si="32"/>
        <v>895900</v>
      </c>
      <c r="K58" s="289">
        <f t="shared" si="32"/>
        <v>895900</v>
      </c>
      <c r="L58" s="279">
        <f t="shared" si="32"/>
        <v>0</v>
      </c>
      <c r="M58" s="288">
        <f t="shared" si="32"/>
        <v>909000</v>
      </c>
      <c r="N58" s="288">
        <f t="shared" si="32"/>
        <v>909000</v>
      </c>
      <c r="O58" s="288">
        <f t="shared" si="32"/>
        <v>0</v>
      </c>
      <c r="Q58" s="284">
        <f t="shared" si="9"/>
        <v>100.74215675250197</v>
      </c>
      <c r="R58" s="284"/>
      <c r="S58" s="284">
        <f t="shared" si="2"/>
        <v>101.46221676526397</v>
      </c>
      <c r="T58" s="284"/>
      <c r="U58" s="285"/>
      <c r="V58" s="286">
        <f t="shared" si="3"/>
        <v>449</v>
      </c>
      <c r="W58" s="286">
        <f t="shared" si="4"/>
        <v>6600</v>
      </c>
      <c r="X58" s="286">
        <f t="shared" si="5"/>
        <v>13100</v>
      </c>
      <c r="Y58" s="287"/>
    </row>
    <row r="59" spans="1:25" s="283" customFormat="1" ht="26.25" customHeight="1" x14ac:dyDescent="0.25">
      <c r="A59" s="272"/>
      <c r="B59" s="272">
        <v>22010000</v>
      </c>
      <c r="C59" s="273" t="s">
        <v>340</v>
      </c>
      <c r="D59" s="274">
        <f>D60+D61+D62</f>
        <v>705790</v>
      </c>
      <c r="E59" s="275">
        <f>E60+E61+E62</f>
        <v>705790</v>
      </c>
      <c r="F59" s="276">
        <f>F60+F61+F62</f>
        <v>0</v>
      </c>
      <c r="G59" s="277">
        <f t="shared" ref="G59:O59" si="33">G60+G61+G62</f>
        <v>707200</v>
      </c>
      <c r="H59" s="278">
        <f t="shared" si="33"/>
        <v>707200</v>
      </c>
      <c r="I59" s="279">
        <f t="shared" si="33"/>
        <v>0</v>
      </c>
      <c r="J59" s="288">
        <f t="shared" si="33"/>
        <v>713300</v>
      </c>
      <c r="K59" s="289">
        <f t="shared" si="33"/>
        <v>713300</v>
      </c>
      <c r="L59" s="279">
        <f t="shared" si="33"/>
        <v>0</v>
      </c>
      <c r="M59" s="288">
        <f t="shared" si="33"/>
        <v>726100</v>
      </c>
      <c r="N59" s="288">
        <f t="shared" si="33"/>
        <v>726100</v>
      </c>
      <c r="O59" s="288">
        <f t="shared" si="33"/>
        <v>0</v>
      </c>
      <c r="Q59" s="284">
        <f t="shared" si="9"/>
        <v>100.86255656108597</v>
      </c>
      <c r="R59" s="284"/>
      <c r="S59" s="284">
        <f t="shared" si="2"/>
        <v>101.79447637740081</v>
      </c>
      <c r="T59" s="284"/>
      <c r="U59" s="285"/>
      <c r="V59" s="286">
        <f t="shared" si="3"/>
        <v>1410</v>
      </c>
      <c r="W59" s="286">
        <f t="shared" si="4"/>
        <v>6100</v>
      </c>
      <c r="X59" s="286">
        <f t="shared" si="5"/>
        <v>12800</v>
      </c>
      <c r="Y59" s="287"/>
    </row>
    <row r="60" spans="1:25" ht="50.25" customHeight="1" x14ac:dyDescent="0.25">
      <c r="A60" s="3"/>
      <c r="B60" s="3">
        <v>22010300</v>
      </c>
      <c r="C60" s="290" t="s">
        <v>341</v>
      </c>
      <c r="D60" s="291">
        <f>E60+F60</f>
        <v>44552</v>
      </c>
      <c r="E60" s="292">
        <v>44552</v>
      </c>
      <c r="F60" s="293"/>
      <c r="G60" s="294">
        <f>H60+I60</f>
        <v>44600</v>
      </c>
      <c r="H60" s="295">
        <v>44600</v>
      </c>
      <c r="I60" s="296"/>
      <c r="J60" s="297">
        <f>K60+L60</f>
        <v>45300</v>
      </c>
      <c r="K60" s="298">
        <v>45300</v>
      </c>
      <c r="L60" s="296"/>
      <c r="M60" s="297">
        <f>N60+O60</f>
        <v>45900</v>
      </c>
      <c r="N60" s="297">
        <v>45900</v>
      </c>
      <c r="O60" s="297"/>
      <c r="Q60" s="284">
        <f t="shared" si="9"/>
        <v>101.5695067264574</v>
      </c>
      <c r="R60" s="284"/>
      <c r="S60" s="284">
        <f t="shared" si="2"/>
        <v>101.32450331125828</v>
      </c>
      <c r="T60" s="284"/>
      <c r="U60" s="285"/>
      <c r="V60" s="286">
        <f t="shared" si="3"/>
        <v>48</v>
      </c>
      <c r="W60" s="286">
        <f t="shared" si="4"/>
        <v>700</v>
      </c>
      <c r="X60" s="286">
        <f t="shared" si="5"/>
        <v>600</v>
      </c>
      <c r="Y60" s="287"/>
    </row>
    <row r="61" spans="1:25" ht="24.75" customHeight="1" x14ac:dyDescent="0.25">
      <c r="A61" s="3"/>
      <c r="B61" s="3">
        <v>22012500</v>
      </c>
      <c r="C61" s="290" t="s">
        <v>342</v>
      </c>
      <c r="D61" s="291">
        <f>E61+F61</f>
        <v>446008</v>
      </c>
      <c r="E61" s="292">
        <v>446008</v>
      </c>
      <c r="F61" s="293"/>
      <c r="G61" s="294">
        <f>H61+I61</f>
        <v>447000</v>
      </c>
      <c r="H61" s="295">
        <v>447000</v>
      </c>
      <c r="I61" s="296"/>
      <c r="J61" s="297">
        <f>K61+L61</f>
        <v>450000</v>
      </c>
      <c r="K61" s="298">
        <v>450000</v>
      </c>
      <c r="L61" s="296"/>
      <c r="M61" s="297">
        <f>N61+O61</f>
        <v>458500</v>
      </c>
      <c r="N61" s="297">
        <v>458500</v>
      </c>
      <c r="O61" s="297"/>
      <c r="Q61" s="284">
        <f t="shared" si="9"/>
        <v>100.67114093959732</v>
      </c>
      <c r="R61" s="284"/>
      <c r="S61" s="284">
        <f t="shared" si="2"/>
        <v>101.88888888888889</v>
      </c>
      <c r="T61" s="284"/>
      <c r="U61" s="285"/>
      <c r="V61" s="286">
        <f t="shared" si="3"/>
        <v>992</v>
      </c>
      <c r="W61" s="286">
        <f t="shared" si="4"/>
        <v>3000</v>
      </c>
      <c r="X61" s="286">
        <f t="shared" si="5"/>
        <v>8500</v>
      </c>
      <c r="Y61" s="287"/>
    </row>
    <row r="62" spans="1:25" ht="39.75" customHeight="1" x14ac:dyDescent="0.25">
      <c r="A62" s="3"/>
      <c r="B62" s="3">
        <v>22012600</v>
      </c>
      <c r="C62" s="290" t="s">
        <v>343</v>
      </c>
      <c r="D62" s="291">
        <f>E62+F62</f>
        <v>215230</v>
      </c>
      <c r="E62" s="292">
        <v>215230</v>
      </c>
      <c r="F62" s="293"/>
      <c r="G62" s="294">
        <f>H62+I62</f>
        <v>215600</v>
      </c>
      <c r="H62" s="295">
        <v>215600</v>
      </c>
      <c r="I62" s="296"/>
      <c r="J62" s="297">
        <f>K62+L62</f>
        <v>218000</v>
      </c>
      <c r="K62" s="298">
        <v>218000</v>
      </c>
      <c r="L62" s="296"/>
      <c r="M62" s="297">
        <f>N62+O62</f>
        <v>221700</v>
      </c>
      <c r="N62" s="297">
        <v>221700</v>
      </c>
      <c r="O62" s="297"/>
      <c r="Q62" s="284">
        <f t="shared" si="9"/>
        <v>101.11317254174396</v>
      </c>
      <c r="R62" s="284"/>
      <c r="S62" s="284">
        <f t="shared" si="2"/>
        <v>101.69724770642202</v>
      </c>
      <c r="T62" s="284"/>
      <c r="U62" s="285"/>
      <c r="V62" s="286">
        <f t="shared" si="3"/>
        <v>370</v>
      </c>
      <c r="W62" s="286">
        <f t="shared" si="4"/>
        <v>2400</v>
      </c>
      <c r="X62" s="286">
        <f t="shared" si="5"/>
        <v>3700</v>
      </c>
      <c r="Y62" s="287"/>
    </row>
    <row r="63" spans="1:25" s="283" customFormat="1" ht="54" hidden="1" customHeight="1" x14ac:dyDescent="0.25">
      <c r="A63" s="272"/>
      <c r="B63" s="272">
        <v>22080000</v>
      </c>
      <c r="C63" s="273" t="s">
        <v>344</v>
      </c>
      <c r="D63" s="274">
        <f>D64</f>
        <v>0</v>
      </c>
      <c r="E63" s="275">
        <f>E64</f>
        <v>0</v>
      </c>
      <c r="F63" s="276"/>
      <c r="G63" s="277">
        <f t="shared" ref="G63:O63" si="34">G64</f>
        <v>0</v>
      </c>
      <c r="H63" s="278">
        <f t="shared" si="34"/>
        <v>0</v>
      </c>
      <c r="I63" s="279">
        <f t="shared" si="34"/>
        <v>0</v>
      </c>
      <c r="J63" s="288">
        <f t="shared" si="34"/>
        <v>0</v>
      </c>
      <c r="K63" s="289">
        <f t="shared" si="34"/>
        <v>0</v>
      </c>
      <c r="L63" s="279">
        <f t="shared" si="34"/>
        <v>0</v>
      </c>
      <c r="M63" s="288">
        <f t="shared" si="34"/>
        <v>0</v>
      </c>
      <c r="N63" s="288">
        <f t="shared" si="34"/>
        <v>0</v>
      </c>
      <c r="O63" s="288">
        <f t="shared" si="34"/>
        <v>0</v>
      </c>
      <c r="Q63" s="284"/>
      <c r="R63" s="284"/>
      <c r="S63" s="284"/>
      <c r="T63" s="284"/>
      <c r="U63" s="285"/>
      <c r="V63" s="286">
        <f t="shared" si="3"/>
        <v>0</v>
      </c>
      <c r="W63" s="286">
        <f t="shared" si="4"/>
        <v>0</v>
      </c>
      <c r="X63" s="286">
        <f t="shared" si="5"/>
        <v>0</v>
      </c>
      <c r="Y63" s="287"/>
    </row>
    <row r="64" spans="1:25" ht="49.5" hidden="1" customHeight="1" x14ac:dyDescent="0.25">
      <c r="A64" s="3"/>
      <c r="B64" s="3">
        <v>22080400</v>
      </c>
      <c r="C64" s="290" t="s">
        <v>345</v>
      </c>
      <c r="D64" s="291">
        <f>E64+F64</f>
        <v>0</v>
      </c>
      <c r="E64" s="292">
        <v>0</v>
      </c>
      <c r="F64" s="293"/>
      <c r="G64" s="294">
        <f>H64+I64</f>
        <v>0</v>
      </c>
      <c r="H64" s="295">
        <v>0</v>
      </c>
      <c r="I64" s="296"/>
      <c r="J64" s="297">
        <f>K64+L64</f>
        <v>0</v>
      </c>
      <c r="K64" s="298">
        <v>0</v>
      </c>
      <c r="L64" s="296">
        <v>0</v>
      </c>
      <c r="M64" s="297">
        <f>N64+O64</f>
        <v>0</v>
      </c>
      <c r="N64" s="297">
        <v>0</v>
      </c>
      <c r="O64" s="297"/>
      <c r="Q64" s="284"/>
      <c r="R64" s="284"/>
      <c r="S64" s="284"/>
      <c r="T64" s="284"/>
      <c r="U64" s="285"/>
      <c r="V64" s="286">
        <f t="shared" si="3"/>
        <v>0</v>
      </c>
      <c r="W64" s="286">
        <f t="shared" si="4"/>
        <v>0</v>
      </c>
      <c r="X64" s="286">
        <f t="shared" si="5"/>
        <v>0</v>
      </c>
      <c r="Y64" s="287"/>
    </row>
    <row r="65" spans="1:25" s="283" customFormat="1" ht="25.5" customHeight="1" x14ac:dyDescent="0.25">
      <c r="A65" s="272"/>
      <c r="B65" s="272">
        <v>22090000</v>
      </c>
      <c r="C65" s="273" t="s">
        <v>346</v>
      </c>
      <c r="D65" s="274">
        <f>D66+D67+D68</f>
        <v>183061</v>
      </c>
      <c r="E65" s="275">
        <f>E66+E67+E68</f>
        <v>183061</v>
      </c>
      <c r="F65" s="276">
        <f>F66+F67+F68</f>
        <v>0</v>
      </c>
      <c r="G65" s="277">
        <f t="shared" ref="G65:O65" si="35">G66+G67+G68</f>
        <v>182100</v>
      </c>
      <c r="H65" s="278">
        <f t="shared" si="35"/>
        <v>182100</v>
      </c>
      <c r="I65" s="279">
        <f t="shared" si="35"/>
        <v>0</v>
      </c>
      <c r="J65" s="288">
        <f t="shared" si="35"/>
        <v>182600</v>
      </c>
      <c r="K65" s="289">
        <f t="shared" si="35"/>
        <v>182600</v>
      </c>
      <c r="L65" s="279">
        <f t="shared" si="35"/>
        <v>0</v>
      </c>
      <c r="M65" s="288">
        <f t="shared" si="35"/>
        <v>182900</v>
      </c>
      <c r="N65" s="288">
        <f t="shared" si="35"/>
        <v>182900</v>
      </c>
      <c r="O65" s="288">
        <f t="shared" si="35"/>
        <v>0</v>
      </c>
      <c r="Q65" s="284">
        <f t="shared" si="9"/>
        <v>100.27457440966502</v>
      </c>
      <c r="R65" s="284"/>
      <c r="S65" s="284">
        <f t="shared" si="2"/>
        <v>100.16429353778751</v>
      </c>
      <c r="T65" s="284"/>
      <c r="U65" s="285"/>
      <c r="V65" s="286">
        <f t="shared" si="3"/>
        <v>-961</v>
      </c>
      <c r="W65" s="286">
        <f t="shared" si="4"/>
        <v>500</v>
      </c>
      <c r="X65" s="286">
        <f t="shared" si="5"/>
        <v>300</v>
      </c>
      <c r="Y65" s="287"/>
    </row>
    <row r="66" spans="1:25" ht="52.5" customHeight="1" x14ac:dyDescent="0.25">
      <c r="A66" s="3"/>
      <c r="B66" s="3">
        <v>22090100</v>
      </c>
      <c r="C66" s="290" t="s">
        <v>347</v>
      </c>
      <c r="D66" s="291">
        <f>E66+F66</f>
        <v>181684</v>
      </c>
      <c r="E66" s="292">
        <v>181684</v>
      </c>
      <c r="F66" s="293"/>
      <c r="G66" s="294">
        <f>H66+I66</f>
        <v>182100</v>
      </c>
      <c r="H66" s="295">
        <v>182100</v>
      </c>
      <c r="I66" s="296"/>
      <c r="J66" s="297">
        <f>K66+L66</f>
        <v>182600</v>
      </c>
      <c r="K66" s="298">
        <v>182600</v>
      </c>
      <c r="L66" s="296"/>
      <c r="M66" s="297">
        <f>N66+O66</f>
        <v>182900</v>
      </c>
      <c r="N66" s="297">
        <v>182900</v>
      </c>
      <c r="O66" s="297"/>
      <c r="Q66" s="284">
        <f t="shared" si="9"/>
        <v>100.27457440966502</v>
      </c>
      <c r="R66" s="284"/>
      <c r="S66" s="284">
        <f t="shared" si="2"/>
        <v>100.16429353778751</v>
      </c>
      <c r="T66" s="284"/>
      <c r="U66" s="285"/>
      <c r="V66" s="286">
        <f t="shared" si="3"/>
        <v>416</v>
      </c>
      <c r="W66" s="286">
        <f t="shared" si="4"/>
        <v>500</v>
      </c>
      <c r="X66" s="286">
        <f t="shared" si="5"/>
        <v>300</v>
      </c>
      <c r="Y66" s="287"/>
    </row>
    <row r="67" spans="1:25" ht="32.25" hidden="1" customHeight="1" x14ac:dyDescent="0.25">
      <c r="A67" s="3"/>
      <c r="B67" s="3">
        <v>22090200</v>
      </c>
      <c r="C67" s="290" t="s">
        <v>348</v>
      </c>
      <c r="D67" s="291">
        <f>E67+F67</f>
        <v>0</v>
      </c>
      <c r="E67" s="292">
        <v>0</v>
      </c>
      <c r="F67" s="293"/>
      <c r="G67" s="294">
        <f>H67+I67</f>
        <v>0</v>
      </c>
      <c r="H67" s="295">
        <v>0</v>
      </c>
      <c r="I67" s="296">
        <v>0</v>
      </c>
      <c r="J67" s="297">
        <f>K67+L67</f>
        <v>0</v>
      </c>
      <c r="K67" s="298">
        <v>0</v>
      </c>
      <c r="L67" s="296">
        <v>0</v>
      </c>
      <c r="M67" s="297">
        <f>N67+O67</f>
        <v>0</v>
      </c>
      <c r="N67" s="297">
        <v>0</v>
      </c>
      <c r="O67" s="297"/>
      <c r="Q67" s="284"/>
      <c r="R67" s="284"/>
      <c r="S67" s="284"/>
      <c r="T67" s="284"/>
      <c r="U67" s="285"/>
      <c r="V67" s="286">
        <f t="shared" si="3"/>
        <v>0</v>
      </c>
      <c r="W67" s="286">
        <f t="shared" si="4"/>
        <v>0</v>
      </c>
      <c r="X67" s="286">
        <f t="shared" si="5"/>
        <v>0</v>
      </c>
      <c r="Y67" s="287"/>
    </row>
    <row r="68" spans="1:25" ht="51" hidden="1" customHeight="1" x14ac:dyDescent="0.25">
      <c r="A68" s="3"/>
      <c r="B68" s="3">
        <v>22090400</v>
      </c>
      <c r="C68" s="290" t="s">
        <v>349</v>
      </c>
      <c r="D68" s="291">
        <f>E68+F68</f>
        <v>1377</v>
      </c>
      <c r="E68" s="292">
        <v>1377</v>
      </c>
      <c r="F68" s="293"/>
      <c r="G68" s="294">
        <f>H68+I68</f>
        <v>0</v>
      </c>
      <c r="H68" s="295">
        <v>0</v>
      </c>
      <c r="I68" s="296">
        <v>0</v>
      </c>
      <c r="J68" s="297">
        <f>K68+L68</f>
        <v>0</v>
      </c>
      <c r="K68" s="298">
        <v>0</v>
      </c>
      <c r="L68" s="296">
        <v>0</v>
      </c>
      <c r="M68" s="297">
        <f>N68+O68</f>
        <v>0</v>
      </c>
      <c r="N68" s="297">
        <v>0</v>
      </c>
      <c r="O68" s="297"/>
      <c r="Q68" s="284"/>
      <c r="R68" s="284"/>
      <c r="S68" s="284"/>
      <c r="T68" s="284"/>
      <c r="U68" s="285"/>
      <c r="V68" s="286">
        <f t="shared" si="3"/>
        <v>-1377</v>
      </c>
      <c r="W68" s="286">
        <f t="shared" si="4"/>
        <v>0</v>
      </c>
      <c r="X68" s="286">
        <f t="shared" si="5"/>
        <v>0</v>
      </c>
      <c r="Y68" s="287"/>
    </row>
    <row r="69" spans="1:25" s="283" customFormat="1" ht="96.75" hidden="1" customHeight="1" x14ac:dyDescent="0.25">
      <c r="A69" s="272"/>
      <c r="B69" s="272">
        <v>22130000</v>
      </c>
      <c r="C69" s="273" t="s">
        <v>350</v>
      </c>
      <c r="D69" s="274">
        <v>0</v>
      </c>
      <c r="E69" s="275">
        <v>0</v>
      </c>
      <c r="F69" s="276">
        <v>0</v>
      </c>
      <c r="G69" s="310">
        <v>0</v>
      </c>
      <c r="H69" s="311">
        <v>0</v>
      </c>
      <c r="I69" s="312">
        <v>0</v>
      </c>
      <c r="J69" s="313">
        <v>0</v>
      </c>
      <c r="K69" s="314">
        <v>0</v>
      </c>
      <c r="L69" s="312">
        <v>0</v>
      </c>
      <c r="M69" s="313">
        <v>0</v>
      </c>
      <c r="N69" s="313">
        <v>0</v>
      </c>
      <c r="O69" s="313">
        <v>0</v>
      </c>
      <c r="Q69" s="284"/>
      <c r="R69" s="284"/>
      <c r="S69" s="284"/>
      <c r="T69" s="284"/>
      <c r="U69" s="285"/>
      <c r="V69" s="286">
        <f t="shared" si="3"/>
        <v>0</v>
      </c>
      <c r="W69" s="286">
        <f t="shared" si="4"/>
        <v>0</v>
      </c>
      <c r="X69" s="286">
        <f t="shared" si="5"/>
        <v>0</v>
      </c>
      <c r="Y69" s="287"/>
    </row>
    <row r="70" spans="1:25" s="283" customFormat="1" ht="29.25" hidden="1" customHeight="1" x14ac:dyDescent="0.25">
      <c r="A70" s="272"/>
      <c r="B70" s="272">
        <v>24000000</v>
      </c>
      <c r="C70" s="273" t="s">
        <v>351</v>
      </c>
      <c r="D70" s="274">
        <f>D71+D75+D75</f>
        <v>0</v>
      </c>
      <c r="E70" s="275">
        <f>E71+E75+E75</f>
        <v>0</v>
      </c>
      <c r="F70" s="276">
        <f>F71+F75+F75</f>
        <v>0</v>
      </c>
      <c r="G70" s="277">
        <f t="shared" ref="G70:O70" si="36">G71</f>
        <v>0</v>
      </c>
      <c r="H70" s="278">
        <f t="shared" si="36"/>
        <v>0</v>
      </c>
      <c r="I70" s="279">
        <f t="shared" si="36"/>
        <v>0</v>
      </c>
      <c r="J70" s="288">
        <f t="shared" si="36"/>
        <v>0</v>
      </c>
      <c r="K70" s="289">
        <f t="shared" si="36"/>
        <v>0</v>
      </c>
      <c r="L70" s="279">
        <f t="shared" si="36"/>
        <v>0</v>
      </c>
      <c r="M70" s="288">
        <f t="shared" si="36"/>
        <v>0</v>
      </c>
      <c r="N70" s="288">
        <f t="shared" si="36"/>
        <v>0</v>
      </c>
      <c r="O70" s="288">
        <f t="shared" si="36"/>
        <v>0</v>
      </c>
      <c r="Q70" s="284"/>
      <c r="R70" s="284"/>
      <c r="S70" s="284"/>
      <c r="T70" s="284"/>
      <c r="U70" s="285"/>
      <c r="V70" s="286">
        <f t="shared" si="3"/>
        <v>0</v>
      </c>
      <c r="W70" s="286">
        <f t="shared" si="4"/>
        <v>0</v>
      </c>
      <c r="X70" s="286">
        <f t="shared" si="5"/>
        <v>0</v>
      </c>
      <c r="Y70" s="287"/>
    </row>
    <row r="71" spans="1:25" s="283" customFormat="1" ht="28.5" hidden="1" customHeight="1" x14ac:dyDescent="0.25">
      <c r="A71" s="272"/>
      <c r="B71" s="272">
        <v>24060000</v>
      </c>
      <c r="C71" s="273" t="s">
        <v>336</v>
      </c>
      <c r="D71" s="274">
        <f>D72+D74</f>
        <v>0</v>
      </c>
      <c r="E71" s="275">
        <f>E72+E74</f>
        <v>0</v>
      </c>
      <c r="F71" s="276">
        <f>F72+F74</f>
        <v>0</v>
      </c>
      <c r="G71" s="277">
        <f t="shared" ref="G71:O71" si="37">G72+G74</f>
        <v>0</v>
      </c>
      <c r="H71" s="278">
        <f t="shared" si="37"/>
        <v>0</v>
      </c>
      <c r="I71" s="279">
        <f t="shared" si="37"/>
        <v>0</v>
      </c>
      <c r="J71" s="288">
        <f t="shared" si="37"/>
        <v>0</v>
      </c>
      <c r="K71" s="289">
        <f t="shared" si="37"/>
        <v>0</v>
      </c>
      <c r="L71" s="279">
        <f t="shared" si="37"/>
        <v>0</v>
      </c>
      <c r="M71" s="288">
        <f t="shared" si="37"/>
        <v>0</v>
      </c>
      <c r="N71" s="288">
        <f t="shared" si="37"/>
        <v>0</v>
      </c>
      <c r="O71" s="288">
        <f t="shared" si="37"/>
        <v>0</v>
      </c>
      <c r="Q71" s="284"/>
      <c r="R71" s="284"/>
      <c r="S71" s="284"/>
      <c r="T71" s="284"/>
      <c r="U71" s="285"/>
      <c r="V71" s="286">
        <f t="shared" si="3"/>
        <v>0</v>
      </c>
      <c r="W71" s="286">
        <f t="shared" si="4"/>
        <v>0</v>
      </c>
      <c r="X71" s="286">
        <f t="shared" si="5"/>
        <v>0</v>
      </c>
      <c r="Y71" s="287"/>
    </row>
    <row r="72" spans="1:25" ht="29.25" hidden="1" customHeight="1" x14ac:dyDescent="0.25">
      <c r="A72" s="3"/>
      <c r="B72" s="3">
        <v>24060300</v>
      </c>
      <c r="C72" s="290" t="s">
        <v>336</v>
      </c>
      <c r="D72" s="291">
        <f>E72+F72</f>
        <v>0</v>
      </c>
      <c r="E72" s="292">
        <v>0</v>
      </c>
      <c r="F72" s="293"/>
      <c r="G72" s="294">
        <f>H72+I72</f>
        <v>0</v>
      </c>
      <c r="H72" s="295">
        <v>0</v>
      </c>
      <c r="I72" s="296">
        <v>0</v>
      </c>
      <c r="J72" s="297">
        <f>K72+L72</f>
        <v>0</v>
      </c>
      <c r="K72" s="298">
        <v>0</v>
      </c>
      <c r="L72" s="296">
        <v>0</v>
      </c>
      <c r="M72" s="297">
        <f>N72+O72</f>
        <v>0</v>
      </c>
      <c r="N72" s="297">
        <v>0</v>
      </c>
      <c r="O72" s="297"/>
      <c r="Q72" s="284"/>
      <c r="R72" s="284"/>
      <c r="S72" s="284"/>
      <c r="T72" s="284"/>
      <c r="U72" s="285"/>
      <c r="V72" s="286">
        <f t="shared" si="3"/>
        <v>0</v>
      </c>
      <c r="W72" s="286">
        <f t="shared" si="4"/>
        <v>0</v>
      </c>
      <c r="X72" s="286">
        <f t="shared" si="5"/>
        <v>0</v>
      </c>
      <c r="Y72" s="287"/>
    </row>
    <row r="73" spans="1:25" ht="68.25" hidden="1" customHeight="1" x14ac:dyDescent="0.25">
      <c r="A73" s="3"/>
      <c r="B73" s="309">
        <v>24062100</v>
      </c>
      <c r="C73" s="290" t="s">
        <v>352</v>
      </c>
      <c r="D73" s="291">
        <f>E73+F73</f>
        <v>0</v>
      </c>
      <c r="E73" s="292"/>
      <c r="F73" s="293"/>
      <c r="G73" s="294">
        <f>H73+I73</f>
        <v>0</v>
      </c>
      <c r="H73" s="295"/>
      <c r="I73" s="296"/>
      <c r="J73" s="297">
        <f>K73+L73</f>
        <v>0</v>
      </c>
      <c r="K73" s="298"/>
      <c r="L73" s="296"/>
      <c r="M73" s="297">
        <f>N73+O73</f>
        <v>0</v>
      </c>
      <c r="N73" s="297"/>
      <c r="O73" s="297"/>
      <c r="Q73" s="284"/>
      <c r="R73" s="284"/>
      <c r="S73" s="284"/>
      <c r="T73" s="284"/>
      <c r="U73" s="285"/>
      <c r="V73" s="286">
        <f t="shared" si="3"/>
        <v>0</v>
      </c>
      <c r="W73" s="286">
        <f t="shared" si="4"/>
        <v>0</v>
      </c>
      <c r="X73" s="286">
        <f t="shared" si="5"/>
        <v>0</v>
      </c>
      <c r="Y73" s="287"/>
    </row>
    <row r="74" spans="1:25" ht="89.25" hidden="1" customHeight="1" x14ac:dyDescent="0.25">
      <c r="A74" s="3"/>
      <c r="B74" s="309">
        <v>24062200</v>
      </c>
      <c r="C74" s="290" t="s">
        <v>353</v>
      </c>
      <c r="D74" s="291">
        <f>E74+F74</f>
        <v>0</v>
      </c>
      <c r="E74" s="292">
        <v>0</v>
      </c>
      <c r="F74" s="293"/>
      <c r="G74" s="294">
        <f>H74+I74</f>
        <v>0</v>
      </c>
      <c r="H74" s="295"/>
      <c r="I74" s="296"/>
      <c r="J74" s="297">
        <f>K74+L74</f>
        <v>0</v>
      </c>
      <c r="K74" s="298"/>
      <c r="L74" s="296"/>
      <c r="M74" s="297">
        <f>N74+O74</f>
        <v>0</v>
      </c>
      <c r="N74" s="297"/>
      <c r="O74" s="297"/>
      <c r="Q74" s="284"/>
      <c r="R74" s="284"/>
      <c r="S74" s="284"/>
      <c r="T74" s="284"/>
      <c r="U74" s="285"/>
      <c r="V74" s="286">
        <f t="shared" si="3"/>
        <v>0</v>
      </c>
      <c r="W74" s="286">
        <f t="shared" si="4"/>
        <v>0</v>
      </c>
      <c r="X74" s="286">
        <f t="shared" si="5"/>
        <v>0</v>
      </c>
      <c r="Y74" s="287"/>
    </row>
    <row r="75" spans="1:25" ht="42" hidden="1" customHeight="1" x14ac:dyDescent="0.25">
      <c r="A75" s="3"/>
      <c r="B75" s="309">
        <v>24170000</v>
      </c>
      <c r="C75" s="290" t="s">
        <v>354</v>
      </c>
      <c r="D75" s="291">
        <f>E75+F75</f>
        <v>0</v>
      </c>
      <c r="E75" s="292">
        <v>0</v>
      </c>
      <c r="F75" s="293"/>
      <c r="G75" s="294">
        <f>H75+I75</f>
        <v>0</v>
      </c>
      <c r="H75" s="295"/>
      <c r="I75" s="296"/>
      <c r="J75" s="297">
        <f>K75+L75</f>
        <v>0</v>
      </c>
      <c r="K75" s="298"/>
      <c r="L75" s="296"/>
      <c r="M75" s="297">
        <f>N75+O75</f>
        <v>0</v>
      </c>
      <c r="N75" s="297"/>
      <c r="O75" s="297"/>
      <c r="Q75" s="284"/>
      <c r="R75" s="284"/>
      <c r="S75" s="284"/>
      <c r="T75" s="284"/>
      <c r="U75" s="285"/>
      <c r="V75" s="286">
        <f t="shared" si="3"/>
        <v>0</v>
      </c>
      <c r="W75" s="286">
        <f t="shared" si="4"/>
        <v>0</v>
      </c>
      <c r="X75" s="286">
        <f t="shared" si="5"/>
        <v>0</v>
      </c>
      <c r="Y75" s="287"/>
    </row>
    <row r="76" spans="1:25" s="283" customFormat="1" ht="23.25" customHeight="1" x14ac:dyDescent="0.25">
      <c r="A76" s="272"/>
      <c r="B76" s="308">
        <v>25000000</v>
      </c>
      <c r="C76" s="273" t="s">
        <v>355</v>
      </c>
      <c r="D76" s="274">
        <f>D77+D81</f>
        <v>8214700</v>
      </c>
      <c r="E76" s="275">
        <f>E77+E81</f>
        <v>0</v>
      </c>
      <c r="F76" s="276">
        <f>F77+F81</f>
        <v>8214700</v>
      </c>
      <c r="G76" s="277">
        <f t="shared" ref="G76:O76" si="38">G77+G81</f>
        <v>1476193</v>
      </c>
      <c r="H76" s="278">
        <f t="shared" si="38"/>
        <v>0</v>
      </c>
      <c r="I76" s="279">
        <f t="shared" si="38"/>
        <v>1476193</v>
      </c>
      <c r="J76" s="288">
        <f t="shared" si="38"/>
        <v>1484000</v>
      </c>
      <c r="K76" s="289">
        <f t="shared" si="38"/>
        <v>0</v>
      </c>
      <c r="L76" s="279">
        <f t="shared" si="38"/>
        <v>1484000</v>
      </c>
      <c r="M76" s="288">
        <f t="shared" si="38"/>
        <v>1492900</v>
      </c>
      <c r="N76" s="288">
        <f t="shared" si="38"/>
        <v>0</v>
      </c>
      <c r="O76" s="288">
        <f t="shared" si="38"/>
        <v>1492900</v>
      </c>
      <c r="Q76" s="284"/>
      <c r="R76" s="284">
        <f>L76/I76%</f>
        <v>100.52886038614191</v>
      </c>
      <c r="S76" s="284"/>
      <c r="T76" s="284">
        <f>O76/L76%</f>
        <v>100.59973045822102</v>
      </c>
      <c r="U76" s="285"/>
      <c r="V76" s="286">
        <f t="shared" si="3"/>
        <v>-6738507</v>
      </c>
      <c r="W76" s="286">
        <f t="shared" si="4"/>
        <v>7807</v>
      </c>
      <c r="X76" s="286">
        <f t="shared" si="5"/>
        <v>8900</v>
      </c>
      <c r="Y76" s="287"/>
    </row>
    <row r="77" spans="1:25" s="283" customFormat="1" ht="54" customHeight="1" x14ac:dyDescent="0.25">
      <c r="A77" s="272"/>
      <c r="B77" s="308">
        <v>25010000</v>
      </c>
      <c r="C77" s="273" t="s">
        <v>356</v>
      </c>
      <c r="D77" s="274">
        <f>D78+D79+D80</f>
        <v>1473500</v>
      </c>
      <c r="E77" s="275">
        <f>E78+E79+E80</f>
        <v>0</v>
      </c>
      <c r="F77" s="276">
        <f>F78+F79+F80</f>
        <v>1473500</v>
      </c>
      <c r="G77" s="277">
        <f t="shared" ref="G77:O77" si="39">G78+G79+G80</f>
        <v>1476193</v>
      </c>
      <c r="H77" s="278">
        <f t="shared" si="39"/>
        <v>0</v>
      </c>
      <c r="I77" s="279">
        <f t="shared" si="39"/>
        <v>1476193</v>
      </c>
      <c r="J77" s="288">
        <f t="shared" si="39"/>
        <v>1484000</v>
      </c>
      <c r="K77" s="289">
        <f t="shared" si="39"/>
        <v>0</v>
      </c>
      <c r="L77" s="279">
        <f t="shared" si="39"/>
        <v>1484000</v>
      </c>
      <c r="M77" s="288">
        <f t="shared" si="39"/>
        <v>1492900</v>
      </c>
      <c r="N77" s="288">
        <f t="shared" si="39"/>
        <v>0</v>
      </c>
      <c r="O77" s="288">
        <f t="shared" si="39"/>
        <v>1492900</v>
      </c>
      <c r="Q77" s="284"/>
      <c r="R77" s="284">
        <f>L77/I77%</f>
        <v>100.52886038614191</v>
      </c>
      <c r="S77" s="284"/>
      <c r="T77" s="284">
        <f>O77/L77%</f>
        <v>100.59973045822102</v>
      </c>
      <c r="U77" s="285"/>
      <c r="V77" s="286">
        <f t="shared" ref="V77:V106" si="40">G77-D77</f>
        <v>2693</v>
      </c>
      <c r="W77" s="286">
        <f t="shared" ref="W77:W106" si="41">J77-G77</f>
        <v>7807</v>
      </c>
      <c r="X77" s="286">
        <f t="shared" ref="X77:X106" si="42">M77-J77</f>
        <v>8900</v>
      </c>
      <c r="Y77" s="287"/>
    </row>
    <row r="78" spans="1:25" s="366" customFormat="1" ht="41.25" customHeight="1" x14ac:dyDescent="0.25">
      <c r="A78" s="358"/>
      <c r="B78" s="359">
        <v>25010100</v>
      </c>
      <c r="C78" s="360" t="s">
        <v>357</v>
      </c>
      <c r="D78" s="291">
        <f>E78+F78</f>
        <v>1417200</v>
      </c>
      <c r="E78" s="292"/>
      <c r="F78" s="293">
        <v>1417200</v>
      </c>
      <c r="G78" s="361">
        <f>H78+I78</f>
        <v>1429393</v>
      </c>
      <c r="H78" s="362"/>
      <c r="I78" s="363">
        <v>1429393</v>
      </c>
      <c r="J78" s="364">
        <f>K78+L78</f>
        <v>1436500</v>
      </c>
      <c r="K78" s="365"/>
      <c r="L78" s="363">
        <v>1436500</v>
      </c>
      <c r="M78" s="364">
        <f>N78+O78</f>
        <v>1445100</v>
      </c>
      <c r="N78" s="364"/>
      <c r="O78" s="364">
        <v>1445100</v>
      </c>
      <c r="Q78" s="367"/>
      <c r="R78" s="367">
        <f>L78/I78%</f>
        <v>100.49720405794628</v>
      </c>
      <c r="S78" s="367"/>
      <c r="T78" s="367">
        <f>O78/L78%</f>
        <v>100.59867734075878</v>
      </c>
      <c r="U78" s="368"/>
      <c r="V78" s="369">
        <f t="shared" si="40"/>
        <v>12193</v>
      </c>
      <c r="W78" s="369">
        <f t="shared" si="41"/>
        <v>7107</v>
      </c>
      <c r="X78" s="369">
        <f t="shared" si="42"/>
        <v>8600</v>
      </c>
      <c r="Y78" s="370"/>
    </row>
    <row r="79" spans="1:25" ht="51.75" customHeight="1" x14ac:dyDescent="0.25">
      <c r="A79" s="3"/>
      <c r="B79" s="309">
        <v>25010300</v>
      </c>
      <c r="C79" s="290" t="s">
        <v>395</v>
      </c>
      <c r="D79" s="291">
        <f>E79+F79</f>
        <v>46400</v>
      </c>
      <c r="E79" s="292"/>
      <c r="F79" s="293">
        <v>46400</v>
      </c>
      <c r="G79" s="294">
        <f>H79+I79</f>
        <v>46800</v>
      </c>
      <c r="H79" s="295"/>
      <c r="I79" s="296">
        <v>46800</v>
      </c>
      <c r="J79" s="297">
        <f>K79+L79</f>
        <v>47500</v>
      </c>
      <c r="K79" s="298"/>
      <c r="L79" s="296">
        <v>47500</v>
      </c>
      <c r="M79" s="297">
        <f>N79+O79</f>
        <v>47800</v>
      </c>
      <c r="N79" s="297"/>
      <c r="O79" s="297">
        <v>47800</v>
      </c>
      <c r="Q79" s="284"/>
      <c r="R79" s="284">
        <f>L79/I79%</f>
        <v>101.4957264957265</v>
      </c>
      <c r="S79" s="284"/>
      <c r="T79" s="284">
        <f>O79/L79%</f>
        <v>100.63157894736842</v>
      </c>
      <c r="U79" s="285"/>
      <c r="V79" s="286">
        <f t="shared" si="40"/>
        <v>400</v>
      </c>
      <c r="W79" s="286">
        <f t="shared" si="41"/>
        <v>700</v>
      </c>
      <c r="X79" s="286">
        <f t="shared" si="42"/>
        <v>300</v>
      </c>
      <c r="Y79" s="287"/>
    </row>
    <row r="80" spans="1:25" ht="53.25" hidden="1" customHeight="1" x14ac:dyDescent="0.25">
      <c r="A80" s="3"/>
      <c r="B80" s="309">
        <v>25010400</v>
      </c>
      <c r="C80" s="290" t="s">
        <v>358</v>
      </c>
      <c r="D80" s="291">
        <f>E80+F80</f>
        <v>9900</v>
      </c>
      <c r="E80" s="292"/>
      <c r="F80" s="293">
        <v>9900</v>
      </c>
      <c r="G80" s="294">
        <f>H80+I80</f>
        <v>0</v>
      </c>
      <c r="H80" s="295"/>
      <c r="I80" s="296"/>
      <c r="J80" s="297">
        <f>K80+L80</f>
        <v>0</v>
      </c>
      <c r="K80" s="298"/>
      <c r="L80" s="296"/>
      <c r="M80" s="297">
        <f>N80+O80</f>
        <v>0</v>
      </c>
      <c r="N80" s="297"/>
      <c r="O80" s="297"/>
      <c r="Q80" s="284"/>
      <c r="R80" s="284"/>
      <c r="S80" s="284"/>
      <c r="T80" s="284"/>
      <c r="U80" s="285"/>
      <c r="V80" s="286">
        <f t="shared" si="40"/>
        <v>-9900</v>
      </c>
      <c r="W80" s="286">
        <f t="shared" si="41"/>
        <v>0</v>
      </c>
      <c r="X80" s="286">
        <f t="shared" si="42"/>
        <v>0</v>
      </c>
      <c r="Y80" s="287"/>
    </row>
    <row r="81" spans="1:25" s="283" customFormat="1" ht="37.5" hidden="1" customHeight="1" x14ac:dyDescent="0.25">
      <c r="A81" s="272"/>
      <c r="B81" s="308">
        <v>25020000</v>
      </c>
      <c r="C81" s="273" t="s">
        <v>359</v>
      </c>
      <c r="D81" s="274">
        <f>D82+D83</f>
        <v>6741200</v>
      </c>
      <c r="E81" s="275">
        <f>E82+E83</f>
        <v>0</v>
      </c>
      <c r="F81" s="276">
        <f>F82+F83</f>
        <v>6741200</v>
      </c>
      <c r="G81" s="277">
        <f t="shared" ref="G81:O81" si="43">G82+G83</f>
        <v>0</v>
      </c>
      <c r="H81" s="278">
        <f t="shared" si="43"/>
        <v>0</v>
      </c>
      <c r="I81" s="279">
        <f t="shared" si="43"/>
        <v>0</v>
      </c>
      <c r="J81" s="288">
        <f t="shared" si="43"/>
        <v>0</v>
      </c>
      <c r="K81" s="289">
        <f t="shared" si="43"/>
        <v>0</v>
      </c>
      <c r="L81" s="279">
        <f t="shared" si="43"/>
        <v>0</v>
      </c>
      <c r="M81" s="288">
        <f t="shared" si="43"/>
        <v>0</v>
      </c>
      <c r="N81" s="288">
        <f t="shared" si="43"/>
        <v>0</v>
      </c>
      <c r="O81" s="288">
        <f t="shared" si="43"/>
        <v>0</v>
      </c>
      <c r="Q81" s="284"/>
      <c r="R81" s="284"/>
      <c r="S81" s="284"/>
      <c r="T81" s="284"/>
      <c r="U81" s="285"/>
      <c r="V81" s="286">
        <f t="shared" si="40"/>
        <v>-6741200</v>
      </c>
      <c r="W81" s="286">
        <f t="shared" si="41"/>
        <v>0</v>
      </c>
      <c r="X81" s="286">
        <f t="shared" si="42"/>
        <v>0</v>
      </c>
      <c r="Y81" s="287"/>
    </row>
    <row r="82" spans="1:25" ht="31.5" hidden="1" customHeight="1" x14ac:dyDescent="0.25">
      <c r="A82" s="3"/>
      <c r="B82" s="309">
        <v>25020100</v>
      </c>
      <c r="C82" s="290" t="s">
        <v>360</v>
      </c>
      <c r="D82" s="291">
        <f>E82+F82</f>
        <v>5648000</v>
      </c>
      <c r="E82" s="292"/>
      <c r="F82" s="293">
        <v>5648000</v>
      </c>
      <c r="G82" s="294">
        <f>H82+I82</f>
        <v>0</v>
      </c>
      <c r="H82" s="295"/>
      <c r="I82" s="296"/>
      <c r="J82" s="297">
        <f>K82+L82</f>
        <v>0</v>
      </c>
      <c r="K82" s="298"/>
      <c r="L82" s="296"/>
      <c r="M82" s="297">
        <f>N82+O82</f>
        <v>0</v>
      </c>
      <c r="N82" s="297"/>
      <c r="O82" s="297"/>
      <c r="Q82" s="284"/>
      <c r="R82" s="284"/>
      <c r="S82" s="284"/>
      <c r="T82" s="284"/>
      <c r="U82" s="285"/>
      <c r="V82" s="286">
        <f t="shared" si="40"/>
        <v>-5648000</v>
      </c>
      <c r="W82" s="286">
        <f t="shared" si="41"/>
        <v>0</v>
      </c>
      <c r="X82" s="286">
        <f t="shared" si="42"/>
        <v>0</v>
      </c>
      <c r="Y82" s="287"/>
    </row>
    <row r="83" spans="1:25" ht="94.5" hidden="1" customHeight="1" x14ac:dyDescent="0.25">
      <c r="A83" s="3"/>
      <c r="B83" s="309">
        <v>25020200</v>
      </c>
      <c r="C83" s="290" t="s">
        <v>361</v>
      </c>
      <c r="D83" s="291">
        <f>E83+F83</f>
        <v>1093200</v>
      </c>
      <c r="E83" s="292"/>
      <c r="F83" s="293">
        <v>1093200</v>
      </c>
      <c r="G83" s="294">
        <f>H83+I83</f>
        <v>0</v>
      </c>
      <c r="H83" s="295"/>
      <c r="I83" s="296"/>
      <c r="J83" s="297">
        <f>K83+L83</f>
        <v>0</v>
      </c>
      <c r="K83" s="298"/>
      <c r="L83" s="296"/>
      <c r="M83" s="297">
        <f>N83+O83</f>
        <v>0</v>
      </c>
      <c r="N83" s="297"/>
      <c r="O83" s="297"/>
      <c r="Q83" s="284"/>
      <c r="R83" s="284"/>
      <c r="S83" s="284"/>
      <c r="T83" s="284"/>
      <c r="U83" s="285"/>
      <c r="V83" s="286">
        <f t="shared" si="40"/>
        <v>-1093200</v>
      </c>
      <c r="W83" s="286">
        <f t="shared" si="41"/>
        <v>0</v>
      </c>
      <c r="X83" s="286">
        <f t="shared" si="42"/>
        <v>0</v>
      </c>
      <c r="Y83" s="287"/>
    </row>
    <row r="84" spans="1:25" s="283" customFormat="1" ht="24.75" customHeight="1" x14ac:dyDescent="0.25">
      <c r="A84" s="272"/>
      <c r="B84" s="308">
        <v>30000000</v>
      </c>
      <c r="C84" s="273" t="s">
        <v>362</v>
      </c>
      <c r="D84" s="274">
        <f t="shared" ref="D84:O86" si="44">D85</f>
        <v>100000</v>
      </c>
      <c r="E84" s="275">
        <f t="shared" si="44"/>
        <v>0</v>
      </c>
      <c r="F84" s="276">
        <f t="shared" si="44"/>
        <v>100000</v>
      </c>
      <c r="G84" s="277">
        <f t="shared" si="44"/>
        <v>100000</v>
      </c>
      <c r="H84" s="278">
        <f t="shared" si="44"/>
        <v>0</v>
      </c>
      <c r="I84" s="279">
        <f t="shared" si="44"/>
        <v>100000</v>
      </c>
      <c r="J84" s="288">
        <f t="shared" si="44"/>
        <v>100000</v>
      </c>
      <c r="K84" s="289">
        <f t="shared" si="44"/>
        <v>0</v>
      </c>
      <c r="L84" s="279">
        <f t="shared" si="44"/>
        <v>100000</v>
      </c>
      <c r="M84" s="288">
        <f t="shared" si="44"/>
        <v>200000</v>
      </c>
      <c r="N84" s="288">
        <f t="shared" si="44"/>
        <v>0</v>
      </c>
      <c r="O84" s="288">
        <f t="shared" si="44"/>
        <v>200000</v>
      </c>
      <c r="Q84" s="284"/>
      <c r="R84" s="284">
        <f>L84/I84%</f>
        <v>100</v>
      </c>
      <c r="S84" s="284"/>
      <c r="T84" s="284">
        <f>O84/L84%</f>
        <v>200</v>
      </c>
      <c r="U84" s="285"/>
      <c r="V84" s="286">
        <f t="shared" si="40"/>
        <v>0</v>
      </c>
      <c r="W84" s="286">
        <f t="shared" si="41"/>
        <v>0</v>
      </c>
      <c r="X84" s="286">
        <f t="shared" si="42"/>
        <v>100000</v>
      </c>
      <c r="Y84" s="287"/>
    </row>
    <row r="85" spans="1:25" s="283" customFormat="1" ht="36.75" customHeight="1" x14ac:dyDescent="0.25">
      <c r="A85" s="272"/>
      <c r="B85" s="308">
        <v>33000000</v>
      </c>
      <c r="C85" s="273" t="s">
        <v>363</v>
      </c>
      <c r="D85" s="274">
        <f t="shared" si="44"/>
        <v>100000</v>
      </c>
      <c r="E85" s="275">
        <f t="shared" si="44"/>
        <v>0</v>
      </c>
      <c r="F85" s="276">
        <f t="shared" si="44"/>
        <v>100000</v>
      </c>
      <c r="G85" s="277">
        <f t="shared" si="44"/>
        <v>100000</v>
      </c>
      <c r="H85" s="278">
        <f t="shared" si="44"/>
        <v>0</v>
      </c>
      <c r="I85" s="279">
        <f t="shared" si="44"/>
        <v>100000</v>
      </c>
      <c r="J85" s="288">
        <f t="shared" si="44"/>
        <v>100000</v>
      </c>
      <c r="K85" s="289">
        <f t="shared" si="44"/>
        <v>0</v>
      </c>
      <c r="L85" s="279">
        <f t="shared" si="44"/>
        <v>100000</v>
      </c>
      <c r="M85" s="288">
        <f t="shared" si="44"/>
        <v>200000</v>
      </c>
      <c r="N85" s="288">
        <f t="shared" si="44"/>
        <v>0</v>
      </c>
      <c r="O85" s="288">
        <f t="shared" si="44"/>
        <v>200000</v>
      </c>
      <c r="Q85" s="284"/>
      <c r="R85" s="284">
        <f>L85/I85%</f>
        <v>100</v>
      </c>
      <c r="S85" s="284"/>
      <c r="T85" s="284">
        <f>O85/L85%</f>
        <v>200</v>
      </c>
      <c r="U85" s="285"/>
      <c r="V85" s="286">
        <f t="shared" si="40"/>
        <v>0</v>
      </c>
      <c r="W85" s="286">
        <f t="shared" si="41"/>
        <v>0</v>
      </c>
      <c r="X85" s="286">
        <f t="shared" si="42"/>
        <v>100000</v>
      </c>
      <c r="Y85" s="287"/>
    </row>
    <row r="86" spans="1:25" s="283" customFormat="1" ht="18" customHeight="1" x14ac:dyDescent="0.25">
      <c r="A86" s="272"/>
      <c r="B86" s="308">
        <v>33010000</v>
      </c>
      <c r="C86" s="273" t="s">
        <v>364</v>
      </c>
      <c r="D86" s="274">
        <f t="shared" si="44"/>
        <v>100000</v>
      </c>
      <c r="E86" s="275">
        <f t="shared" si="44"/>
        <v>0</v>
      </c>
      <c r="F86" s="276">
        <f t="shared" si="44"/>
        <v>100000</v>
      </c>
      <c r="G86" s="277">
        <f t="shared" si="44"/>
        <v>100000</v>
      </c>
      <c r="H86" s="278">
        <f t="shared" si="44"/>
        <v>0</v>
      </c>
      <c r="I86" s="279">
        <f t="shared" si="44"/>
        <v>100000</v>
      </c>
      <c r="J86" s="288">
        <f t="shared" si="44"/>
        <v>100000</v>
      </c>
      <c r="K86" s="289">
        <f t="shared" si="44"/>
        <v>0</v>
      </c>
      <c r="L86" s="279">
        <f t="shared" si="44"/>
        <v>100000</v>
      </c>
      <c r="M86" s="288">
        <f t="shared" si="44"/>
        <v>200000</v>
      </c>
      <c r="N86" s="288">
        <f t="shared" si="44"/>
        <v>0</v>
      </c>
      <c r="O86" s="288">
        <f t="shared" si="44"/>
        <v>200000</v>
      </c>
      <c r="Q86" s="284"/>
      <c r="R86" s="284">
        <f>L86/I86%</f>
        <v>100</v>
      </c>
      <c r="S86" s="284"/>
      <c r="T86" s="284">
        <f>O86/L86%</f>
        <v>200</v>
      </c>
      <c r="U86" s="285"/>
      <c r="V86" s="286">
        <f t="shared" si="40"/>
        <v>0</v>
      </c>
      <c r="W86" s="286">
        <f t="shared" si="41"/>
        <v>0</v>
      </c>
      <c r="X86" s="286">
        <f t="shared" si="42"/>
        <v>100000</v>
      </c>
      <c r="Y86" s="287"/>
    </row>
    <row r="87" spans="1:25" ht="75.75" customHeight="1" x14ac:dyDescent="0.25">
      <c r="A87" s="3"/>
      <c r="B87" s="309">
        <v>33010100</v>
      </c>
      <c r="C87" s="290" t="s">
        <v>365</v>
      </c>
      <c r="D87" s="291">
        <f>E87+F87</f>
        <v>100000</v>
      </c>
      <c r="E87" s="292"/>
      <c r="F87" s="293">
        <v>100000</v>
      </c>
      <c r="G87" s="294">
        <f>H87+I87</f>
        <v>100000</v>
      </c>
      <c r="H87" s="295"/>
      <c r="I87" s="296">
        <v>100000</v>
      </c>
      <c r="J87" s="297">
        <f>K87+L87</f>
        <v>100000</v>
      </c>
      <c r="K87" s="298"/>
      <c r="L87" s="296">
        <v>100000</v>
      </c>
      <c r="M87" s="297">
        <f>N87+O87</f>
        <v>200000</v>
      </c>
      <c r="N87" s="297"/>
      <c r="O87" s="297">
        <v>200000</v>
      </c>
      <c r="Q87" s="284"/>
      <c r="R87" s="284">
        <f>L87/I87%</f>
        <v>100</v>
      </c>
      <c r="S87" s="284"/>
      <c r="T87" s="284">
        <f>O87/L87%</f>
        <v>200</v>
      </c>
      <c r="U87" s="285"/>
      <c r="V87" s="286">
        <f t="shared" si="40"/>
        <v>0</v>
      </c>
      <c r="W87" s="286">
        <f t="shared" si="41"/>
        <v>0</v>
      </c>
      <c r="X87" s="286">
        <f t="shared" si="42"/>
        <v>100000</v>
      </c>
      <c r="Y87" s="287"/>
    </row>
    <row r="88" spans="1:25" s="283" customFormat="1" ht="25.5" customHeight="1" x14ac:dyDescent="0.25">
      <c r="A88" s="272"/>
      <c r="B88" s="272">
        <v>40000000</v>
      </c>
      <c r="C88" s="273" t="s">
        <v>366</v>
      </c>
      <c r="D88" s="274">
        <f>D89</f>
        <v>47238080</v>
      </c>
      <c r="E88" s="275">
        <f>E89</f>
        <v>47238080</v>
      </c>
      <c r="F88" s="276">
        <f>F89</f>
        <v>0</v>
      </c>
      <c r="G88" s="277">
        <f t="shared" ref="G88:O88" si="45">G89</f>
        <v>39508909</v>
      </c>
      <c r="H88" s="278">
        <f t="shared" si="45"/>
        <v>39508909</v>
      </c>
      <c r="I88" s="279">
        <f t="shared" si="45"/>
        <v>0</v>
      </c>
      <c r="J88" s="288">
        <f t="shared" si="45"/>
        <v>43251040</v>
      </c>
      <c r="K88" s="289">
        <f t="shared" si="45"/>
        <v>43251040</v>
      </c>
      <c r="L88" s="279">
        <f t="shared" si="45"/>
        <v>0</v>
      </c>
      <c r="M88" s="288">
        <f t="shared" si="45"/>
        <v>46103700</v>
      </c>
      <c r="N88" s="288">
        <f t="shared" si="45"/>
        <v>46103700</v>
      </c>
      <c r="O88" s="288">
        <f t="shared" si="45"/>
        <v>0</v>
      </c>
      <c r="Q88" s="284">
        <f t="shared" ref="Q88:Q106" si="46">K88/H88%</f>
        <v>109.47161309870641</v>
      </c>
      <c r="R88" s="284"/>
      <c r="S88" s="284">
        <f t="shared" ref="S88:S106" si="47">N88/K88%</f>
        <v>106.59558706565205</v>
      </c>
      <c r="T88" s="284"/>
      <c r="U88" s="285"/>
      <c r="V88" s="286">
        <f t="shared" si="40"/>
        <v>-7729171</v>
      </c>
      <c r="W88" s="286">
        <f t="shared" si="41"/>
        <v>3742131</v>
      </c>
      <c r="X88" s="286">
        <f t="shared" si="42"/>
        <v>2852660</v>
      </c>
      <c r="Y88" s="287"/>
    </row>
    <row r="89" spans="1:25" s="283" customFormat="1" ht="23.25" customHeight="1" x14ac:dyDescent="0.25">
      <c r="A89" s="272"/>
      <c r="B89" s="272">
        <v>41000000</v>
      </c>
      <c r="C89" s="273" t="s">
        <v>367</v>
      </c>
      <c r="D89" s="274">
        <f>D90+D95+D97</f>
        <v>47238080</v>
      </c>
      <c r="E89" s="275">
        <f>E90+E95+E97</f>
        <v>47238080</v>
      </c>
      <c r="F89" s="276">
        <f>F90+F95+F97</f>
        <v>0</v>
      </c>
      <c r="G89" s="277">
        <f t="shared" ref="G89:O89" si="48">G90+G95+G97</f>
        <v>39508909</v>
      </c>
      <c r="H89" s="278">
        <f t="shared" si="48"/>
        <v>39508909</v>
      </c>
      <c r="I89" s="279">
        <f t="shared" si="48"/>
        <v>0</v>
      </c>
      <c r="J89" s="288">
        <f t="shared" si="48"/>
        <v>43251040</v>
      </c>
      <c r="K89" s="289">
        <f t="shared" si="48"/>
        <v>43251040</v>
      </c>
      <c r="L89" s="279">
        <f t="shared" si="48"/>
        <v>0</v>
      </c>
      <c r="M89" s="288">
        <f t="shared" si="48"/>
        <v>46103700</v>
      </c>
      <c r="N89" s="288">
        <f t="shared" si="48"/>
        <v>46103700</v>
      </c>
      <c r="O89" s="288">
        <f t="shared" si="48"/>
        <v>0</v>
      </c>
      <c r="Q89" s="284">
        <f t="shared" si="46"/>
        <v>109.47161309870641</v>
      </c>
      <c r="R89" s="284"/>
      <c r="S89" s="284">
        <f t="shared" si="47"/>
        <v>106.59558706565205</v>
      </c>
      <c r="T89" s="284"/>
      <c r="U89" s="285"/>
      <c r="V89" s="286">
        <f t="shared" si="40"/>
        <v>-7729171</v>
      </c>
      <c r="W89" s="286">
        <f t="shared" si="41"/>
        <v>3742131</v>
      </c>
      <c r="X89" s="286">
        <f t="shared" si="42"/>
        <v>2852660</v>
      </c>
      <c r="Y89" s="287"/>
    </row>
    <row r="90" spans="1:25" s="283" customFormat="1" ht="36" customHeight="1" x14ac:dyDescent="0.25">
      <c r="A90" s="272"/>
      <c r="B90" s="272">
        <v>41030000</v>
      </c>
      <c r="C90" s="273" t="s">
        <v>368</v>
      </c>
      <c r="D90" s="274">
        <f>D91+D92+D93+D94</f>
        <v>40898200</v>
      </c>
      <c r="E90" s="275">
        <f>E91+E92+E93+E94</f>
        <v>40898200</v>
      </c>
      <c r="F90" s="276">
        <f>F91+F92+F93+F94</f>
        <v>0</v>
      </c>
      <c r="G90" s="277">
        <f t="shared" ref="G90:O90" si="49">G91+G92+G93+G94</f>
        <v>37430700</v>
      </c>
      <c r="H90" s="278">
        <f t="shared" si="49"/>
        <v>37430700</v>
      </c>
      <c r="I90" s="279">
        <f t="shared" si="49"/>
        <v>0</v>
      </c>
      <c r="J90" s="288">
        <f t="shared" si="49"/>
        <v>41063400</v>
      </c>
      <c r="K90" s="289">
        <f t="shared" si="49"/>
        <v>41063400</v>
      </c>
      <c r="L90" s="279">
        <f t="shared" si="49"/>
        <v>0</v>
      </c>
      <c r="M90" s="288">
        <f t="shared" si="49"/>
        <v>43802100</v>
      </c>
      <c r="N90" s="288">
        <f t="shared" si="49"/>
        <v>43802100</v>
      </c>
      <c r="O90" s="288">
        <f t="shared" si="49"/>
        <v>0</v>
      </c>
      <c r="Q90" s="284">
        <f t="shared" si="46"/>
        <v>109.70513508964567</v>
      </c>
      <c r="R90" s="284"/>
      <c r="S90" s="284">
        <f t="shared" si="47"/>
        <v>106.66944286152632</v>
      </c>
      <c r="T90" s="284"/>
      <c r="U90" s="285"/>
      <c r="V90" s="286">
        <f t="shared" si="40"/>
        <v>-3467500</v>
      </c>
      <c r="W90" s="286">
        <f t="shared" si="41"/>
        <v>3632700</v>
      </c>
      <c r="X90" s="286">
        <f t="shared" si="42"/>
        <v>2738700</v>
      </c>
      <c r="Y90" s="287"/>
    </row>
    <row r="91" spans="1:25" ht="46.5" hidden="1" customHeight="1" x14ac:dyDescent="0.25">
      <c r="A91" s="3"/>
      <c r="B91" s="3">
        <v>41033200</v>
      </c>
      <c r="C91" s="290" t="s">
        <v>369</v>
      </c>
      <c r="D91" s="291">
        <f>E91+F91</f>
        <v>0</v>
      </c>
      <c r="E91" s="292">
        <v>0</v>
      </c>
      <c r="F91" s="293"/>
      <c r="G91" s="294">
        <f>H91+I91</f>
        <v>0</v>
      </c>
      <c r="H91" s="295">
        <v>0</v>
      </c>
      <c r="I91" s="296">
        <v>0</v>
      </c>
      <c r="J91" s="297">
        <f>K91+L91</f>
        <v>0</v>
      </c>
      <c r="K91" s="298">
        <v>0</v>
      </c>
      <c r="L91" s="296"/>
      <c r="M91" s="297">
        <f>N91+O91</f>
        <v>0</v>
      </c>
      <c r="N91" s="297">
        <v>0</v>
      </c>
      <c r="O91" s="297"/>
      <c r="Q91" s="284"/>
      <c r="R91" s="284"/>
      <c r="S91" s="284"/>
      <c r="T91" s="284"/>
      <c r="U91" s="285"/>
      <c r="V91" s="286">
        <f t="shared" si="40"/>
        <v>0</v>
      </c>
      <c r="W91" s="286">
        <f t="shared" si="41"/>
        <v>0</v>
      </c>
      <c r="X91" s="286">
        <f t="shared" si="42"/>
        <v>0</v>
      </c>
      <c r="Y91" s="287"/>
    </row>
    <row r="92" spans="1:25" ht="42" customHeight="1" x14ac:dyDescent="0.25">
      <c r="A92" s="3"/>
      <c r="B92" s="3">
        <v>41033900</v>
      </c>
      <c r="C92" s="290" t="s">
        <v>370</v>
      </c>
      <c r="D92" s="291">
        <f>E92+F92</f>
        <v>37430700</v>
      </c>
      <c r="E92" s="292">
        <v>37430700</v>
      </c>
      <c r="F92" s="293"/>
      <c r="G92" s="294">
        <f>H92+I92</f>
        <v>37430700</v>
      </c>
      <c r="H92" s="295">
        <v>37430700</v>
      </c>
      <c r="I92" s="296"/>
      <c r="J92" s="297">
        <f>K92+L92</f>
        <v>41063400</v>
      </c>
      <c r="K92" s="298">
        <v>41063400</v>
      </c>
      <c r="L92" s="296"/>
      <c r="M92" s="297">
        <f>N92+O92</f>
        <v>43802100</v>
      </c>
      <c r="N92" s="297">
        <v>43802100</v>
      </c>
      <c r="O92" s="297"/>
      <c r="Q92" s="284">
        <f t="shared" si="46"/>
        <v>109.70513508964567</v>
      </c>
      <c r="R92" s="284"/>
      <c r="S92" s="284">
        <f t="shared" si="47"/>
        <v>106.66944286152632</v>
      </c>
      <c r="T92" s="284"/>
      <c r="U92" s="285"/>
      <c r="V92" s="286">
        <f t="shared" si="40"/>
        <v>0</v>
      </c>
      <c r="W92" s="286">
        <f t="shared" si="41"/>
        <v>3632700</v>
      </c>
      <c r="X92" s="286">
        <f t="shared" si="42"/>
        <v>2738700</v>
      </c>
      <c r="Y92" s="287"/>
    </row>
    <row r="93" spans="1:25" ht="40.5" customHeight="1" x14ac:dyDescent="0.25">
      <c r="A93" s="3"/>
      <c r="B93" s="3">
        <v>41034200</v>
      </c>
      <c r="C93" s="290" t="s">
        <v>371</v>
      </c>
      <c r="D93" s="291">
        <f>E93+F93</f>
        <v>3467500</v>
      </c>
      <c r="E93" s="292">
        <v>3467500</v>
      </c>
      <c r="F93" s="293"/>
      <c r="G93" s="294">
        <f>H93+I93</f>
        <v>0</v>
      </c>
      <c r="H93" s="295">
        <v>0</v>
      </c>
      <c r="I93" s="296"/>
      <c r="J93" s="297">
        <f>K93+L93</f>
        <v>0</v>
      </c>
      <c r="K93" s="298">
        <v>0</v>
      </c>
      <c r="L93" s="296"/>
      <c r="M93" s="297">
        <f>N93+O93</f>
        <v>0</v>
      </c>
      <c r="N93" s="297">
        <v>0</v>
      </c>
      <c r="O93" s="297"/>
      <c r="Q93" s="284" t="e">
        <f t="shared" si="46"/>
        <v>#DIV/0!</v>
      </c>
      <c r="R93" s="284"/>
      <c r="S93" s="284"/>
      <c r="T93" s="284"/>
      <c r="U93" s="285"/>
      <c r="V93" s="286">
        <f t="shared" si="40"/>
        <v>-3467500</v>
      </c>
      <c r="W93" s="286">
        <f t="shared" si="41"/>
        <v>0</v>
      </c>
      <c r="X93" s="286">
        <f t="shared" si="42"/>
        <v>0</v>
      </c>
      <c r="Y93" s="287"/>
    </row>
    <row r="94" spans="1:25" ht="51" hidden="1" customHeight="1" x14ac:dyDescent="0.25">
      <c r="A94" s="3"/>
      <c r="B94" s="3">
        <v>41034500</v>
      </c>
      <c r="C94" s="290" t="s">
        <v>372</v>
      </c>
      <c r="D94" s="291">
        <f>E94+F94</f>
        <v>0</v>
      </c>
      <c r="E94" s="292">
        <v>0</v>
      </c>
      <c r="F94" s="293"/>
      <c r="G94" s="294">
        <f>H94+I94</f>
        <v>0</v>
      </c>
      <c r="H94" s="295">
        <v>0</v>
      </c>
      <c r="I94" s="296"/>
      <c r="J94" s="297">
        <f>K94+L94</f>
        <v>0</v>
      </c>
      <c r="K94" s="298">
        <v>0</v>
      </c>
      <c r="L94" s="296"/>
      <c r="M94" s="297">
        <f>N94+O94</f>
        <v>0</v>
      </c>
      <c r="N94" s="297">
        <v>0</v>
      </c>
      <c r="O94" s="297"/>
      <c r="Q94" s="284"/>
      <c r="R94" s="284"/>
      <c r="S94" s="284"/>
      <c r="T94" s="284"/>
      <c r="U94" s="285"/>
      <c r="V94" s="286">
        <f t="shared" si="40"/>
        <v>0</v>
      </c>
      <c r="W94" s="286">
        <f t="shared" si="41"/>
        <v>0</v>
      </c>
      <c r="X94" s="286">
        <f t="shared" si="42"/>
        <v>0</v>
      </c>
      <c r="Y94" s="287"/>
    </row>
    <row r="95" spans="1:25" s="283" customFormat="1" ht="39.75" customHeight="1" x14ac:dyDescent="0.25">
      <c r="A95" s="272"/>
      <c r="B95" s="272">
        <v>41040000</v>
      </c>
      <c r="C95" s="273" t="s">
        <v>373</v>
      </c>
      <c r="D95" s="274">
        <f>D96</f>
        <v>3941300</v>
      </c>
      <c r="E95" s="275">
        <f>E96</f>
        <v>3941300</v>
      </c>
      <c r="F95" s="276">
        <f>F96</f>
        <v>0</v>
      </c>
      <c r="G95" s="277">
        <f t="shared" ref="G95:O95" si="50">G96</f>
        <v>0</v>
      </c>
      <c r="H95" s="278">
        <f t="shared" si="50"/>
        <v>0</v>
      </c>
      <c r="I95" s="279">
        <f t="shared" si="50"/>
        <v>0</v>
      </c>
      <c r="J95" s="288">
        <f t="shared" si="50"/>
        <v>0</v>
      </c>
      <c r="K95" s="289">
        <f t="shared" si="50"/>
        <v>0</v>
      </c>
      <c r="L95" s="279">
        <f t="shared" si="50"/>
        <v>0</v>
      </c>
      <c r="M95" s="288">
        <f t="shared" si="50"/>
        <v>0</v>
      </c>
      <c r="N95" s="288">
        <f t="shared" si="50"/>
        <v>0</v>
      </c>
      <c r="O95" s="288">
        <f t="shared" si="50"/>
        <v>0</v>
      </c>
      <c r="Q95" s="284" t="e">
        <f t="shared" si="46"/>
        <v>#DIV/0!</v>
      </c>
      <c r="R95" s="284"/>
      <c r="S95" s="284"/>
      <c r="T95" s="284"/>
      <c r="U95" s="285"/>
      <c r="V95" s="286">
        <f t="shared" si="40"/>
        <v>-3941300</v>
      </c>
      <c r="W95" s="286">
        <f t="shared" si="41"/>
        <v>0</v>
      </c>
      <c r="X95" s="286">
        <f t="shared" si="42"/>
        <v>0</v>
      </c>
      <c r="Y95" s="357">
        <f>W92+W95</f>
        <v>3632700</v>
      </c>
    </row>
    <row r="96" spans="1:25" ht="83.25" customHeight="1" x14ac:dyDescent="0.25">
      <c r="A96" s="3"/>
      <c r="B96" s="3">
        <v>41040200</v>
      </c>
      <c r="C96" s="290" t="s">
        <v>374</v>
      </c>
      <c r="D96" s="291">
        <f>E96+F96</f>
        <v>3941300</v>
      </c>
      <c r="E96" s="292">
        <v>3941300</v>
      </c>
      <c r="F96" s="293"/>
      <c r="G96" s="294">
        <f>H96+I96</f>
        <v>0</v>
      </c>
      <c r="H96" s="295">
        <v>0</v>
      </c>
      <c r="I96" s="296"/>
      <c r="J96" s="297">
        <f>K96+L96</f>
        <v>0</v>
      </c>
      <c r="K96" s="298">
        <v>0</v>
      </c>
      <c r="L96" s="296"/>
      <c r="M96" s="297">
        <f>N96+O96</f>
        <v>0</v>
      </c>
      <c r="N96" s="297">
        <v>0</v>
      </c>
      <c r="O96" s="297"/>
      <c r="Q96" s="284" t="e">
        <f t="shared" si="46"/>
        <v>#DIV/0!</v>
      </c>
      <c r="R96" s="284"/>
      <c r="S96" s="284"/>
      <c r="T96" s="284"/>
      <c r="U96" s="285"/>
      <c r="V96" s="286">
        <f t="shared" si="40"/>
        <v>-3941300</v>
      </c>
      <c r="W96" s="286">
        <f t="shared" si="41"/>
        <v>0</v>
      </c>
      <c r="X96" s="286">
        <f t="shared" si="42"/>
        <v>0</v>
      </c>
      <c r="Y96" s="287"/>
    </row>
    <row r="97" spans="1:25" s="283" customFormat="1" ht="37.5" customHeight="1" x14ac:dyDescent="0.25">
      <c r="A97" s="272"/>
      <c r="B97" s="272">
        <v>41050000</v>
      </c>
      <c r="C97" s="273" t="s">
        <v>375</v>
      </c>
      <c r="D97" s="274">
        <f>D98+D99+D100+D101+D102+D103+D104</f>
        <v>2398580</v>
      </c>
      <c r="E97" s="275">
        <f>E98+E99+E100+E101+E102+E103+E104</f>
        <v>2398580</v>
      </c>
      <c r="F97" s="276">
        <f>F98+F99+F100+F101+F103+F104</f>
        <v>0</v>
      </c>
      <c r="G97" s="277">
        <f t="shared" ref="G97:O97" si="51">G98+G99+G100+G101+G103+G104</f>
        <v>2078209</v>
      </c>
      <c r="H97" s="278">
        <f t="shared" si="51"/>
        <v>2078209</v>
      </c>
      <c r="I97" s="279">
        <f t="shared" si="51"/>
        <v>0</v>
      </c>
      <c r="J97" s="288">
        <f t="shared" si="51"/>
        <v>2187640</v>
      </c>
      <c r="K97" s="289">
        <f t="shared" si="51"/>
        <v>2187640</v>
      </c>
      <c r="L97" s="279">
        <f t="shared" si="51"/>
        <v>0</v>
      </c>
      <c r="M97" s="288">
        <f t="shared" si="51"/>
        <v>2301600</v>
      </c>
      <c r="N97" s="288">
        <f t="shared" si="51"/>
        <v>2301600</v>
      </c>
      <c r="O97" s="288">
        <f t="shared" si="51"/>
        <v>0</v>
      </c>
      <c r="Q97" s="284">
        <f t="shared" si="46"/>
        <v>105.2656397888759</v>
      </c>
      <c r="R97" s="284"/>
      <c r="S97" s="284">
        <f t="shared" si="47"/>
        <v>105.20926660693715</v>
      </c>
      <c r="T97" s="284"/>
      <c r="U97" s="285"/>
      <c r="V97" s="286">
        <f t="shared" si="40"/>
        <v>-320371</v>
      </c>
      <c r="W97" s="286">
        <f t="shared" si="41"/>
        <v>109431</v>
      </c>
      <c r="X97" s="286">
        <f t="shared" si="42"/>
        <v>113960</v>
      </c>
      <c r="Y97" s="287"/>
    </row>
    <row r="98" spans="1:25" ht="51.75" customHeight="1" x14ac:dyDescent="0.25">
      <c r="A98" s="3"/>
      <c r="B98" s="3">
        <v>41051000</v>
      </c>
      <c r="C98" s="290" t="s">
        <v>376</v>
      </c>
      <c r="D98" s="291">
        <f t="shared" ref="D98:D104" si="52">E98+F98</f>
        <v>938740</v>
      </c>
      <c r="E98" s="292">
        <v>938740</v>
      </c>
      <c r="F98" s="293"/>
      <c r="G98" s="294">
        <f t="shared" ref="G98:G104" si="53">H98+I98</f>
        <v>938740</v>
      </c>
      <c r="H98" s="295">
        <v>938740</v>
      </c>
      <c r="I98" s="296"/>
      <c r="J98" s="297">
        <f t="shared" ref="J98:J104" si="54">K98+L98</f>
        <v>988490</v>
      </c>
      <c r="K98" s="298">
        <v>988490</v>
      </c>
      <c r="L98" s="296"/>
      <c r="M98" s="297">
        <f t="shared" ref="M98:M104" si="55">N98+O98</f>
        <v>1038900</v>
      </c>
      <c r="N98" s="297">
        <v>1038900</v>
      </c>
      <c r="O98" s="297"/>
      <c r="Q98" s="284">
        <f t="shared" si="46"/>
        <v>105.29965698702516</v>
      </c>
      <c r="R98" s="284"/>
      <c r="S98" s="284"/>
      <c r="T98" s="284"/>
      <c r="U98" s="285"/>
      <c r="V98" s="286">
        <f t="shared" si="40"/>
        <v>0</v>
      </c>
      <c r="W98" s="286">
        <f t="shared" si="41"/>
        <v>49750</v>
      </c>
      <c r="X98" s="286">
        <f t="shared" si="42"/>
        <v>50410</v>
      </c>
      <c r="Y98" s="287"/>
    </row>
    <row r="99" spans="1:25" ht="53.25" customHeight="1" x14ac:dyDescent="0.25">
      <c r="A99" s="3"/>
      <c r="B99" s="3">
        <v>41051100</v>
      </c>
      <c r="C99" s="290" t="s">
        <v>377</v>
      </c>
      <c r="D99" s="291">
        <f t="shared" si="52"/>
        <v>96550</v>
      </c>
      <c r="E99" s="292">
        <v>96550</v>
      </c>
      <c r="F99" s="293"/>
      <c r="G99" s="294">
        <f t="shared" si="53"/>
        <v>0</v>
      </c>
      <c r="H99" s="295">
        <v>0</v>
      </c>
      <c r="I99" s="296"/>
      <c r="J99" s="297">
        <f t="shared" si="54"/>
        <v>0</v>
      </c>
      <c r="K99" s="298">
        <v>0</v>
      </c>
      <c r="L99" s="296"/>
      <c r="M99" s="297">
        <f t="shared" si="55"/>
        <v>0</v>
      </c>
      <c r="N99" s="297">
        <v>0</v>
      </c>
      <c r="O99" s="297"/>
      <c r="Q99" s="284"/>
      <c r="R99" s="284"/>
      <c r="S99" s="284"/>
      <c r="T99" s="284"/>
      <c r="U99" s="285"/>
      <c r="V99" s="286">
        <f t="shared" si="40"/>
        <v>-96550</v>
      </c>
      <c r="W99" s="286">
        <f t="shared" si="41"/>
        <v>0</v>
      </c>
      <c r="X99" s="286">
        <f t="shared" si="42"/>
        <v>0</v>
      </c>
      <c r="Y99" s="287"/>
    </row>
    <row r="100" spans="1:25" ht="69.75" customHeight="1" x14ac:dyDescent="0.25">
      <c r="A100" s="3"/>
      <c r="B100" s="3">
        <v>41051200</v>
      </c>
      <c r="C100" s="290" t="s">
        <v>378</v>
      </c>
      <c r="D100" s="291">
        <f t="shared" si="52"/>
        <v>508097</v>
      </c>
      <c r="E100" s="292">
        <v>508097</v>
      </c>
      <c r="F100" s="293"/>
      <c r="G100" s="294">
        <f t="shared" si="53"/>
        <v>508097</v>
      </c>
      <c r="H100" s="295">
        <v>508097</v>
      </c>
      <c r="I100" s="296"/>
      <c r="J100" s="297">
        <f t="shared" si="54"/>
        <v>535050</v>
      </c>
      <c r="K100" s="298">
        <v>535050</v>
      </c>
      <c r="L100" s="296"/>
      <c r="M100" s="297">
        <f t="shared" si="55"/>
        <v>563400</v>
      </c>
      <c r="N100" s="297">
        <v>563400</v>
      </c>
      <c r="O100" s="297"/>
      <c r="Q100" s="284">
        <f t="shared" si="46"/>
        <v>105.30469575691255</v>
      </c>
      <c r="R100" s="284"/>
      <c r="S100" s="284">
        <f t="shared" si="47"/>
        <v>105.29857022708158</v>
      </c>
      <c r="T100" s="284"/>
      <c r="U100" s="285"/>
      <c r="V100" s="286">
        <f t="shared" si="40"/>
        <v>0</v>
      </c>
      <c r="W100" s="286">
        <f t="shared" si="41"/>
        <v>26953</v>
      </c>
      <c r="X100" s="286">
        <f t="shared" si="42"/>
        <v>28350</v>
      </c>
      <c r="Y100" s="287"/>
    </row>
    <row r="101" spans="1:25" ht="60" customHeight="1" x14ac:dyDescent="0.25">
      <c r="A101" s="3"/>
      <c r="B101" s="3">
        <v>41051400</v>
      </c>
      <c r="C101" s="290" t="s">
        <v>379</v>
      </c>
      <c r="D101" s="291">
        <f t="shared" si="52"/>
        <v>466372</v>
      </c>
      <c r="E101" s="292">
        <v>466372</v>
      </c>
      <c r="F101" s="293"/>
      <c r="G101" s="294">
        <f t="shared" si="53"/>
        <v>466372</v>
      </c>
      <c r="H101" s="295">
        <v>466372</v>
      </c>
      <c r="I101" s="296"/>
      <c r="J101" s="297">
        <f t="shared" si="54"/>
        <v>491100</v>
      </c>
      <c r="K101" s="298">
        <v>491100</v>
      </c>
      <c r="L101" s="296"/>
      <c r="M101" s="297">
        <f t="shared" si="55"/>
        <v>517100</v>
      </c>
      <c r="N101" s="297">
        <v>517100</v>
      </c>
      <c r="O101" s="297"/>
      <c r="Q101" s="284"/>
      <c r="R101" s="284"/>
      <c r="S101" s="284"/>
      <c r="T101" s="284"/>
      <c r="U101" s="285"/>
      <c r="V101" s="286">
        <f t="shared" si="40"/>
        <v>0</v>
      </c>
      <c r="W101" s="286">
        <f t="shared" si="41"/>
        <v>24728</v>
      </c>
      <c r="X101" s="286">
        <f t="shared" si="42"/>
        <v>26000</v>
      </c>
      <c r="Y101" s="287"/>
    </row>
    <row r="102" spans="1:25" ht="60" customHeight="1" x14ac:dyDescent="0.25">
      <c r="A102" s="3"/>
      <c r="B102" s="3">
        <v>41051700</v>
      </c>
      <c r="C102" s="290" t="s">
        <v>400</v>
      </c>
      <c r="D102" s="291">
        <f t="shared" si="52"/>
        <v>32901</v>
      </c>
      <c r="E102" s="292">
        <v>32901</v>
      </c>
      <c r="F102" s="293"/>
      <c r="G102" s="294"/>
      <c r="H102" s="295"/>
      <c r="I102" s="296"/>
      <c r="J102" s="297"/>
      <c r="K102" s="298"/>
      <c r="L102" s="296"/>
      <c r="M102" s="297"/>
      <c r="N102" s="297"/>
      <c r="O102" s="297"/>
      <c r="Q102" s="284"/>
      <c r="R102" s="284"/>
      <c r="S102" s="284"/>
      <c r="T102" s="284"/>
      <c r="U102" s="285"/>
      <c r="V102" s="286"/>
      <c r="W102" s="286"/>
      <c r="X102" s="286"/>
      <c r="Y102" s="287"/>
    </row>
    <row r="103" spans="1:25" ht="21" customHeight="1" x14ac:dyDescent="0.25">
      <c r="A103" s="3"/>
      <c r="B103" s="3">
        <v>41053900</v>
      </c>
      <c r="C103" s="290" t="s">
        <v>0</v>
      </c>
      <c r="D103" s="291">
        <f t="shared" si="52"/>
        <v>355920</v>
      </c>
      <c r="E103" s="292">
        <v>355920</v>
      </c>
      <c r="F103" s="293">
        <v>0</v>
      </c>
      <c r="G103" s="294">
        <f t="shared" si="53"/>
        <v>165000</v>
      </c>
      <c r="H103" s="295">
        <v>165000</v>
      </c>
      <c r="I103" s="296"/>
      <c r="J103" s="297">
        <f t="shared" si="54"/>
        <v>173000</v>
      </c>
      <c r="K103" s="298">
        <v>173000</v>
      </c>
      <c r="L103" s="296"/>
      <c r="M103" s="297">
        <f t="shared" si="55"/>
        <v>182200</v>
      </c>
      <c r="N103" s="297">
        <v>182200</v>
      </c>
      <c r="O103" s="297"/>
      <c r="Q103" s="284">
        <f t="shared" si="46"/>
        <v>104.84848484848484</v>
      </c>
      <c r="R103" s="284"/>
      <c r="S103" s="284">
        <f t="shared" si="47"/>
        <v>105.3179190751445</v>
      </c>
      <c r="T103" s="284"/>
      <c r="U103" s="285"/>
      <c r="V103" s="286">
        <f t="shared" si="40"/>
        <v>-190920</v>
      </c>
      <c r="W103" s="286">
        <f t="shared" si="41"/>
        <v>8000</v>
      </c>
      <c r="X103" s="286">
        <f t="shared" si="42"/>
        <v>9200</v>
      </c>
      <c r="Y103" s="287"/>
    </row>
    <row r="104" spans="1:25" ht="48.75" hidden="1" customHeight="1" x14ac:dyDescent="0.25">
      <c r="A104" s="3"/>
      <c r="B104" s="3">
        <v>41054300</v>
      </c>
      <c r="C104" s="290" t="s">
        <v>380</v>
      </c>
      <c r="D104" s="291">
        <f t="shared" si="52"/>
        <v>0</v>
      </c>
      <c r="E104" s="292">
        <v>0</v>
      </c>
      <c r="F104" s="293"/>
      <c r="G104" s="294">
        <f t="shared" si="53"/>
        <v>0</v>
      </c>
      <c r="H104" s="295">
        <v>0</v>
      </c>
      <c r="I104" s="296"/>
      <c r="J104" s="297">
        <f t="shared" si="54"/>
        <v>0</v>
      </c>
      <c r="K104" s="298">
        <v>0</v>
      </c>
      <c r="L104" s="296"/>
      <c r="M104" s="297">
        <f t="shared" si="55"/>
        <v>0</v>
      </c>
      <c r="N104" s="297">
        <v>0</v>
      </c>
      <c r="O104" s="297"/>
      <c r="Q104" s="284"/>
      <c r="R104" s="284"/>
      <c r="S104" s="284"/>
      <c r="T104" s="284"/>
      <c r="U104" s="285"/>
      <c r="V104" s="286">
        <f t="shared" si="40"/>
        <v>0</v>
      </c>
      <c r="W104" s="286">
        <f t="shared" si="41"/>
        <v>0</v>
      </c>
      <c r="X104" s="286">
        <f t="shared" si="42"/>
        <v>0</v>
      </c>
      <c r="Y104" s="287"/>
    </row>
    <row r="105" spans="1:25" ht="19.5" customHeight="1" x14ac:dyDescent="0.25">
      <c r="A105" s="433" t="s">
        <v>381</v>
      </c>
      <c r="B105" s="434"/>
      <c r="C105" s="435"/>
      <c r="D105" s="371">
        <f>D12+D53+D84</f>
        <v>106876666</v>
      </c>
      <c r="E105" s="372">
        <f>E12+E53+E84</f>
        <v>98487466</v>
      </c>
      <c r="F105" s="373">
        <f>F12+F53+F84</f>
        <v>8389200</v>
      </c>
      <c r="G105" s="377">
        <f>G12+G53+G84</f>
        <v>106170589.19999999</v>
      </c>
      <c r="H105" s="378">
        <f t="shared" ref="H105:O105" si="56">H12+H53+H84</f>
        <v>104518696.19999999</v>
      </c>
      <c r="I105" s="379">
        <f t="shared" si="56"/>
        <v>1651893</v>
      </c>
      <c r="J105" s="385">
        <f t="shared" si="56"/>
        <v>110065332.00999999</v>
      </c>
      <c r="K105" s="386">
        <f t="shared" si="56"/>
        <v>108404832.00999999</v>
      </c>
      <c r="L105" s="387">
        <f t="shared" si="56"/>
        <v>1660500</v>
      </c>
      <c r="M105" s="383">
        <f t="shared" si="56"/>
        <v>114415808.61049999</v>
      </c>
      <c r="N105" s="383">
        <f t="shared" si="56"/>
        <v>112645608.61049999</v>
      </c>
      <c r="O105" s="383">
        <f t="shared" si="56"/>
        <v>1770200</v>
      </c>
      <c r="P105" s="315"/>
      <c r="Q105" s="316">
        <f t="shared" si="46"/>
        <v>103.71812503531785</v>
      </c>
      <c r="R105" s="316">
        <f>L105/I105%</f>
        <v>100.52103859027189</v>
      </c>
      <c r="S105" s="316">
        <f t="shared" si="47"/>
        <v>103.9119811560695</v>
      </c>
      <c r="T105" s="316">
        <f>O105/L105%</f>
        <v>106.60644384221619</v>
      </c>
      <c r="U105" s="317"/>
      <c r="V105" s="318">
        <f t="shared" si="40"/>
        <v>-706076.80000001192</v>
      </c>
      <c r="W105" s="286">
        <f t="shared" si="41"/>
        <v>3894742.8100000024</v>
      </c>
      <c r="X105" s="286">
        <f t="shared" si="42"/>
        <v>4350476.6005000025</v>
      </c>
      <c r="Y105" s="287"/>
    </row>
    <row r="106" spans="1:25" ht="18" customHeight="1" thickBot="1" x14ac:dyDescent="0.3">
      <c r="A106" s="433" t="s">
        <v>382</v>
      </c>
      <c r="B106" s="434"/>
      <c r="C106" s="435"/>
      <c r="D106" s="374">
        <f>D105+D88</f>
        <v>154114746</v>
      </c>
      <c r="E106" s="375">
        <f>E105+E88</f>
        <v>145725546</v>
      </c>
      <c r="F106" s="376">
        <f>F105+F88</f>
        <v>8389200</v>
      </c>
      <c r="G106" s="380">
        <f t="shared" ref="G106:O106" si="57">G105+G88</f>
        <v>145679498.19999999</v>
      </c>
      <c r="H106" s="381">
        <f t="shared" si="57"/>
        <v>144027605.19999999</v>
      </c>
      <c r="I106" s="382">
        <f t="shared" si="57"/>
        <v>1651893</v>
      </c>
      <c r="J106" s="388">
        <f t="shared" si="57"/>
        <v>153316372.00999999</v>
      </c>
      <c r="K106" s="389">
        <f t="shared" si="57"/>
        <v>151655872.00999999</v>
      </c>
      <c r="L106" s="390">
        <f t="shared" si="57"/>
        <v>1660500</v>
      </c>
      <c r="M106" s="384">
        <f t="shared" si="57"/>
        <v>160519508.61049998</v>
      </c>
      <c r="N106" s="384">
        <f t="shared" si="57"/>
        <v>158749308.61049998</v>
      </c>
      <c r="O106" s="384">
        <f t="shared" si="57"/>
        <v>1770200</v>
      </c>
      <c r="Q106" s="316">
        <f t="shared" si="46"/>
        <v>105.29639217385251</v>
      </c>
      <c r="R106" s="316">
        <f>L106/I106%</f>
        <v>100.52103859027189</v>
      </c>
      <c r="S106" s="316">
        <f t="shared" si="47"/>
        <v>104.67732406697201</v>
      </c>
      <c r="T106" s="316">
        <f>O106/L106%</f>
        <v>106.60644384221619</v>
      </c>
      <c r="U106" s="317"/>
      <c r="V106" s="318">
        <f t="shared" si="40"/>
        <v>-8435247.8000000119</v>
      </c>
      <c r="W106" s="286">
        <f t="shared" si="41"/>
        <v>7636873.8100000024</v>
      </c>
      <c r="X106" s="286">
        <f t="shared" si="42"/>
        <v>7203136.6004999876</v>
      </c>
      <c r="Y106" s="287"/>
    </row>
    <row r="107" spans="1:25" x14ac:dyDescent="0.25">
      <c r="G107" s="319"/>
      <c r="H107" s="319"/>
      <c r="I107" s="319"/>
    </row>
    <row r="108" spans="1:25" ht="12.75" x14ac:dyDescent="0.2">
      <c r="B108" s="12" t="s">
        <v>401</v>
      </c>
      <c r="C108" s="6"/>
      <c r="D108" s="6"/>
      <c r="E108" s="6"/>
      <c r="F108" s="6"/>
    </row>
    <row r="109" spans="1:25" ht="15" customHeight="1" x14ac:dyDescent="0.2">
      <c r="B109" s="6" t="s">
        <v>402</v>
      </c>
      <c r="C109" s="6"/>
      <c r="D109" s="6"/>
      <c r="E109" s="6"/>
      <c r="F109" s="6"/>
      <c r="G109" s="320"/>
      <c r="H109" s="320"/>
      <c r="I109" s="320"/>
      <c r="J109" s="320"/>
      <c r="K109" s="320"/>
      <c r="L109" s="320"/>
    </row>
    <row r="110" spans="1:25" ht="12.75" x14ac:dyDescent="0.2">
      <c r="B110" s="6" t="s">
        <v>403</v>
      </c>
      <c r="C110" s="6"/>
      <c r="D110" s="6"/>
      <c r="E110" s="6"/>
      <c r="F110" s="6"/>
    </row>
    <row r="111" spans="1:25" ht="38.25" customHeight="1" x14ac:dyDescent="0.25">
      <c r="C111" s="420" t="s">
        <v>441</v>
      </c>
      <c r="D111" s="507"/>
      <c r="E111" s="507"/>
      <c r="F111" s="504"/>
      <c r="G111" s="504"/>
      <c r="H111" s="504"/>
      <c r="I111" s="504"/>
      <c r="J111" s="504"/>
      <c r="K111" s="504"/>
      <c r="L111" s="504"/>
      <c r="M111" s="504"/>
      <c r="N111" s="421" t="s">
        <v>439</v>
      </c>
      <c r="O111" s="504"/>
      <c r="P111" s="505"/>
      <c r="Q111" s="506"/>
      <c r="W111" s="255"/>
      <c r="X111" s="255"/>
    </row>
    <row r="112" spans="1:25" ht="39" customHeight="1" x14ac:dyDescent="0.25">
      <c r="C112" s="508"/>
      <c r="D112" s="509"/>
      <c r="E112" s="509"/>
      <c r="G112" s="321"/>
      <c r="H112" s="321"/>
      <c r="I112" s="321"/>
    </row>
    <row r="115" spans="7:15" x14ac:dyDescent="0.25">
      <c r="G115" s="254"/>
      <c r="H115" s="254"/>
      <c r="I115" s="254"/>
      <c r="J115" s="254"/>
      <c r="K115" s="254"/>
      <c r="L115" s="254"/>
      <c r="M115" s="254"/>
      <c r="N115" s="254"/>
      <c r="O115" s="254"/>
    </row>
    <row r="116" spans="7:15" x14ac:dyDescent="0.25">
      <c r="G116" s="254"/>
      <c r="H116" s="254"/>
      <c r="I116" s="254"/>
      <c r="J116" s="254"/>
      <c r="K116" s="254"/>
      <c r="L116" s="254"/>
      <c r="M116" s="254"/>
      <c r="N116" s="254"/>
      <c r="O116" s="254"/>
    </row>
    <row r="117" spans="7:15" x14ac:dyDescent="0.25">
      <c r="G117" s="254"/>
      <c r="H117" s="254"/>
      <c r="I117" s="254"/>
      <c r="J117" s="254"/>
      <c r="K117" s="254"/>
      <c r="L117" s="254"/>
      <c r="M117" s="254"/>
      <c r="N117" s="254"/>
      <c r="O117" s="254"/>
    </row>
  </sheetData>
  <mergeCells count="13">
    <mergeCell ref="Q10:R10"/>
    <mergeCell ref="S10:T10"/>
    <mergeCell ref="A105:C105"/>
    <mergeCell ref="A106:C106"/>
    <mergeCell ref="A4:C4"/>
    <mergeCell ref="B6:M6"/>
    <mergeCell ref="A10:A11"/>
    <mergeCell ref="B10:B11"/>
    <mergeCell ref="C10:C11"/>
    <mergeCell ref="D10:F10"/>
    <mergeCell ref="G10:I10"/>
    <mergeCell ref="J10:L10"/>
    <mergeCell ref="M10:O10"/>
  </mergeCells>
  <phoneticPr fontId="73" type="noConversion"/>
  <pageMargins left="0.78740157480314965" right="0.78740157480314965" top="1.1811023622047245" bottom="0.39370078740157483" header="0.31496062992125984" footer="0.31496062992125984"/>
  <pageSetup paperSize="9" scale="60" fitToHeight="5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W92"/>
  <sheetViews>
    <sheetView showGridLines="0" showZeros="0" topLeftCell="M1" zoomScaleNormal="100" zoomScaleSheetLayoutView="90" workbookViewId="0">
      <selection activeCell="O91" sqref="O91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12.7109375" style="16" customWidth="1"/>
    <col min="5" max="5" width="9" style="16" hidden="1" customWidth="1"/>
    <col min="6" max="6" width="42.140625" style="16" customWidth="1"/>
    <col min="7" max="7" width="13.140625" style="16" customWidth="1"/>
    <col min="8" max="9" width="12.7109375" style="16" customWidth="1"/>
    <col min="10" max="10" width="12.85546875" style="16" customWidth="1"/>
    <col min="11" max="11" width="11.28515625" style="18" customWidth="1"/>
    <col min="12" max="12" width="10" style="18" customWidth="1"/>
    <col min="13" max="13" width="9.85546875" style="18" customWidth="1"/>
    <col min="14" max="14" width="11.42578125" style="18" customWidth="1"/>
    <col min="15" max="15" width="13.85546875" style="18" customWidth="1"/>
    <col min="16" max="16" width="10.42578125" style="18" customWidth="1"/>
    <col min="17" max="17" width="11.85546875" style="18" customWidth="1"/>
    <col min="18" max="18" width="13.28515625" style="18" customWidth="1"/>
    <col min="19" max="19" width="15.85546875" style="18" customWidth="1"/>
    <col min="20" max="20" width="12.7109375" style="18" customWidth="1"/>
    <col min="21" max="21" width="11.85546875" style="18" customWidth="1"/>
    <col min="22" max="22" width="17.5703125" style="18" customWidth="1"/>
    <col min="23" max="23" width="10.7109375" style="19" bestFit="1" customWidth="1"/>
    <col min="24" max="16384" width="7.85546875" style="19"/>
  </cols>
  <sheetData>
    <row r="1" spans="1:23" s="15" customFormat="1" ht="18.75" customHeight="1" x14ac:dyDescent="0.25">
      <c r="A1" s="13"/>
      <c r="B1" s="460"/>
      <c r="C1" s="460"/>
      <c r="D1" s="460"/>
      <c r="E1" s="460"/>
      <c r="F1" s="460"/>
      <c r="G1" s="460"/>
      <c r="H1" s="460"/>
      <c r="I1" s="460"/>
      <c r="J1" s="460"/>
      <c r="K1" s="14"/>
      <c r="L1" s="14"/>
      <c r="M1" s="14"/>
      <c r="N1" s="14"/>
      <c r="O1" s="14"/>
      <c r="P1" s="14"/>
      <c r="Q1" s="14"/>
      <c r="R1" s="14"/>
      <c r="S1" s="256" t="s">
        <v>220</v>
      </c>
      <c r="T1" s="256"/>
      <c r="U1" s="256"/>
      <c r="V1" s="256"/>
    </row>
    <row r="2" spans="1:23" s="15" customFormat="1" ht="18.75" customHeight="1" x14ac:dyDescent="0.25">
      <c r="A2" s="13"/>
      <c r="B2" s="137"/>
      <c r="C2" s="137"/>
      <c r="D2" s="137"/>
      <c r="E2" s="137"/>
      <c r="F2" s="137"/>
      <c r="G2" s="137"/>
      <c r="H2" s="137"/>
      <c r="I2" s="137"/>
      <c r="J2" s="137"/>
      <c r="K2" s="14"/>
      <c r="L2" s="14"/>
      <c r="M2" s="14"/>
      <c r="N2" s="14"/>
      <c r="O2" s="14"/>
      <c r="P2" s="14"/>
      <c r="Q2" s="14"/>
      <c r="R2" s="14"/>
      <c r="S2" s="256" t="s">
        <v>435</v>
      </c>
      <c r="T2" s="256"/>
      <c r="U2" s="256"/>
      <c r="V2" s="256"/>
    </row>
    <row r="3" spans="1:23" s="15" customFormat="1" ht="18.75" customHeight="1" x14ac:dyDescent="0.25">
      <c r="A3" s="13"/>
      <c r="B3" s="414"/>
      <c r="C3" s="414"/>
      <c r="D3" s="414"/>
      <c r="E3" s="414"/>
      <c r="F3" s="414"/>
      <c r="G3" s="414"/>
      <c r="H3" s="414"/>
      <c r="I3" s="414"/>
      <c r="J3" s="414"/>
      <c r="K3" s="14"/>
      <c r="L3" s="14"/>
      <c r="M3" s="14"/>
      <c r="N3" s="14"/>
      <c r="O3" s="14"/>
      <c r="P3" s="14"/>
      <c r="Q3" s="14"/>
      <c r="R3" s="14"/>
      <c r="S3" s="256" t="s">
        <v>436</v>
      </c>
      <c r="T3" s="256"/>
      <c r="U3" s="256"/>
      <c r="V3" s="256"/>
    </row>
    <row r="4" spans="1:23" s="15" customFormat="1" ht="18.75" customHeight="1" x14ac:dyDescent="0.25">
      <c r="A4" s="13"/>
      <c r="B4" s="137"/>
      <c r="C4" s="137"/>
      <c r="D4" s="137"/>
      <c r="E4" s="137"/>
      <c r="F4" s="137"/>
      <c r="G4" s="137"/>
      <c r="H4" s="137"/>
      <c r="I4" s="137"/>
      <c r="J4" s="137"/>
      <c r="K4" s="14"/>
      <c r="L4" s="14"/>
      <c r="M4" s="14"/>
      <c r="N4" s="14"/>
      <c r="O4" s="14"/>
      <c r="P4" s="14"/>
      <c r="Q4" s="14"/>
      <c r="R4" s="14"/>
      <c r="S4" s="256" t="s">
        <v>438</v>
      </c>
      <c r="T4" s="256"/>
      <c r="U4" s="256"/>
      <c r="V4" s="256"/>
    </row>
    <row r="5" spans="1:23" ht="63" customHeight="1" x14ac:dyDescent="0.2">
      <c r="B5" s="461" t="s">
        <v>442</v>
      </c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</row>
    <row r="6" spans="1:23" ht="18.75" x14ac:dyDescent="0.3">
      <c r="B6" s="20"/>
      <c r="C6" s="21"/>
      <c r="D6" s="21"/>
      <c r="E6" s="21"/>
      <c r="F6" s="21"/>
      <c r="G6" s="21"/>
      <c r="H6" s="21"/>
      <c r="I6" s="21"/>
      <c r="J6" s="21"/>
      <c r="V6" s="18" t="s">
        <v>18</v>
      </c>
    </row>
    <row r="7" spans="1:23" s="18" customFormat="1" ht="21.75" customHeight="1" x14ac:dyDescent="0.2">
      <c r="A7" s="22"/>
      <c r="B7" s="462" t="s">
        <v>19</v>
      </c>
      <c r="C7" s="462" t="s">
        <v>20</v>
      </c>
      <c r="D7" s="462" t="s">
        <v>21</v>
      </c>
      <c r="E7" s="462" t="s">
        <v>22</v>
      </c>
      <c r="F7" s="466" t="s">
        <v>23</v>
      </c>
      <c r="G7" s="469" t="s">
        <v>24</v>
      </c>
      <c r="H7" s="469"/>
      <c r="I7" s="469"/>
      <c r="J7" s="469"/>
      <c r="K7" s="469" t="s">
        <v>25</v>
      </c>
      <c r="L7" s="469"/>
      <c r="M7" s="469"/>
      <c r="N7" s="469"/>
      <c r="O7" s="469" t="s">
        <v>26</v>
      </c>
      <c r="P7" s="469"/>
      <c r="Q7" s="469"/>
      <c r="R7" s="469"/>
      <c r="S7" s="469" t="s">
        <v>410</v>
      </c>
      <c r="T7" s="469"/>
      <c r="U7" s="469"/>
      <c r="V7" s="469"/>
    </row>
    <row r="8" spans="1:23" s="18" customFormat="1" ht="16.5" customHeight="1" x14ac:dyDescent="0.2">
      <c r="A8" s="23"/>
      <c r="B8" s="463"/>
      <c r="C8" s="463"/>
      <c r="D8" s="465"/>
      <c r="E8" s="465"/>
      <c r="F8" s="467"/>
      <c r="G8" s="458" t="s">
        <v>4</v>
      </c>
      <c r="H8" s="457" t="s">
        <v>5</v>
      </c>
      <c r="I8" s="452" t="s">
        <v>27</v>
      </c>
      <c r="J8" s="458" t="s">
        <v>28</v>
      </c>
      <c r="K8" s="458" t="s">
        <v>4</v>
      </c>
      <c r="L8" s="457" t="s">
        <v>5</v>
      </c>
      <c r="M8" s="452" t="s">
        <v>27</v>
      </c>
      <c r="N8" s="458" t="s">
        <v>28</v>
      </c>
      <c r="O8" s="458" t="s">
        <v>4</v>
      </c>
      <c r="P8" s="457" t="s">
        <v>5</v>
      </c>
      <c r="Q8" s="452" t="s">
        <v>27</v>
      </c>
      <c r="R8" s="458" t="s">
        <v>28</v>
      </c>
      <c r="S8" s="458" t="s">
        <v>4</v>
      </c>
      <c r="T8" s="457" t="s">
        <v>5</v>
      </c>
      <c r="U8" s="452" t="s">
        <v>27</v>
      </c>
      <c r="V8" s="458" t="s">
        <v>28</v>
      </c>
    </row>
    <row r="9" spans="1:23" s="18" customFormat="1" ht="139.5" customHeight="1" x14ac:dyDescent="0.2">
      <c r="A9" s="24"/>
      <c r="B9" s="464"/>
      <c r="C9" s="464"/>
      <c r="D9" s="459"/>
      <c r="E9" s="459"/>
      <c r="F9" s="468"/>
      <c r="G9" s="458"/>
      <c r="H9" s="457"/>
      <c r="I9" s="459"/>
      <c r="J9" s="458"/>
      <c r="K9" s="458"/>
      <c r="L9" s="457"/>
      <c r="M9" s="453"/>
      <c r="N9" s="458"/>
      <c r="O9" s="458"/>
      <c r="P9" s="457"/>
      <c r="Q9" s="453"/>
      <c r="R9" s="458"/>
      <c r="S9" s="458"/>
      <c r="T9" s="457"/>
      <c r="U9" s="453"/>
      <c r="V9" s="458"/>
    </row>
    <row r="10" spans="1:23" s="30" customFormat="1" ht="21.6" customHeight="1" x14ac:dyDescent="0.2">
      <c r="A10" s="25"/>
      <c r="B10" s="26" t="s">
        <v>29</v>
      </c>
      <c r="C10" s="26"/>
      <c r="D10" s="26" t="s">
        <v>29</v>
      </c>
      <c r="E10" s="26" t="s">
        <v>30</v>
      </c>
      <c r="F10" s="27">
        <v>2</v>
      </c>
      <c r="G10" s="28">
        <v>3</v>
      </c>
      <c r="H10" s="28">
        <v>4</v>
      </c>
      <c r="I10" s="28">
        <v>5</v>
      </c>
      <c r="J10" s="28">
        <v>6</v>
      </c>
      <c r="K10" s="29">
        <v>7</v>
      </c>
      <c r="L10" s="29">
        <v>8</v>
      </c>
      <c r="M10" s="29">
        <v>9</v>
      </c>
      <c r="N10" s="29">
        <v>10</v>
      </c>
      <c r="O10" s="29">
        <v>11</v>
      </c>
      <c r="P10" s="29">
        <v>12</v>
      </c>
      <c r="Q10" s="29">
        <v>13</v>
      </c>
      <c r="R10" s="29">
        <v>14</v>
      </c>
      <c r="S10" s="29">
        <v>15</v>
      </c>
      <c r="T10" s="29">
        <v>16</v>
      </c>
      <c r="U10" s="29">
        <v>17</v>
      </c>
      <c r="V10" s="29">
        <v>18</v>
      </c>
    </row>
    <row r="11" spans="1:23" s="30" customFormat="1" ht="26.25" customHeight="1" x14ac:dyDescent="0.2">
      <c r="A11" s="25"/>
      <c r="B11" s="31" t="s">
        <v>31</v>
      </c>
      <c r="C11" s="31"/>
      <c r="D11" s="32" t="s">
        <v>32</v>
      </c>
      <c r="E11" s="31"/>
      <c r="F11" s="33" t="s">
        <v>33</v>
      </c>
      <c r="G11" s="34">
        <v>16159238</v>
      </c>
      <c r="H11" s="34">
        <v>17000</v>
      </c>
      <c r="I11" s="34">
        <v>17000</v>
      </c>
      <c r="J11" s="29">
        <f>G11+H11</f>
        <v>16176238</v>
      </c>
      <c r="K11" s="34">
        <v>16396358</v>
      </c>
      <c r="L11" s="34"/>
      <c r="M11" s="34"/>
      <c r="N11" s="29">
        <f>K11+L11</f>
        <v>16396358</v>
      </c>
      <c r="O11" s="35">
        <v>18434486</v>
      </c>
      <c r="P11" s="35">
        <f>'коефіціенти (2)'!AM18+'коефіціенти (2)'!AM20</f>
        <v>0</v>
      </c>
      <c r="Q11" s="35">
        <f>'коефіціенти (2)'!X18+'коефіціенти (2)'!X20</f>
        <v>0</v>
      </c>
      <c r="R11" s="29">
        <f>O11+P11</f>
        <v>18434486</v>
      </c>
      <c r="S11" s="415">
        <v>19888718</v>
      </c>
      <c r="T11" s="35">
        <f>'коефіціенти (2)'!AN18+'коефіціенти (2)'!AN20</f>
        <v>0</v>
      </c>
      <c r="U11" s="35">
        <f>'коефіціенти (2)'!Y18+'коефіціенти (2)'!Y20</f>
        <v>0</v>
      </c>
      <c r="V11" s="29">
        <f>S11+T11</f>
        <v>19888718</v>
      </c>
    </row>
    <row r="12" spans="1:23" s="18" customFormat="1" ht="23.25" customHeight="1" x14ac:dyDescent="0.2">
      <c r="A12" s="36"/>
      <c r="B12" s="31" t="s">
        <v>34</v>
      </c>
      <c r="C12" s="31"/>
      <c r="D12" s="32" t="s">
        <v>35</v>
      </c>
      <c r="E12" s="31"/>
      <c r="F12" s="33" t="s">
        <v>36</v>
      </c>
      <c r="G12" s="34">
        <v>100011948.93000001</v>
      </c>
      <c r="H12" s="34">
        <v>3392901.75</v>
      </c>
      <c r="I12" s="34">
        <v>713502</v>
      </c>
      <c r="J12" s="29">
        <f t="shared" ref="J12:J75" si="0">G12+H12</f>
        <v>103404850.68000001</v>
      </c>
      <c r="K12" s="34">
        <v>101479524</v>
      </c>
      <c r="L12" s="34">
        <f>1519694-16301</f>
        <v>1503393</v>
      </c>
      <c r="M12" s="34">
        <v>130197</v>
      </c>
      <c r="N12" s="29">
        <f t="shared" ref="N12:N75" si="1">K12+L12</f>
        <v>102982917</v>
      </c>
      <c r="O12" s="35">
        <v>109270334</v>
      </c>
      <c r="P12" s="35">
        <v>1506889</v>
      </c>
      <c r="Q12" s="35">
        <f>'коефіціенти (2)'!X68+'коефіціенти (2)'!X92-'коефіціенти (2)'!X87</f>
        <v>137097.44099999999</v>
      </c>
      <c r="R12" s="29">
        <f t="shared" ref="R12:R75" si="2">O12+P12</f>
        <v>110777223</v>
      </c>
      <c r="S12" s="415">
        <v>114170395</v>
      </c>
      <c r="T12" s="35">
        <v>1612890</v>
      </c>
      <c r="U12" s="35">
        <f>'коефіціенти (2)'!Y68+'коефіціенти (2)'!Y92-'коефіціенти (2)'!Y87</f>
        <v>144089.41049099999</v>
      </c>
      <c r="V12" s="29">
        <f t="shared" ref="V12:V75" si="3">S12+T12</f>
        <v>115783285</v>
      </c>
      <c r="W12" s="30"/>
    </row>
    <row r="13" spans="1:23" s="18" customFormat="1" ht="24" customHeight="1" x14ac:dyDescent="0.2">
      <c r="A13" s="36"/>
      <c r="B13" s="31"/>
      <c r="C13" s="31"/>
      <c r="D13" s="32" t="s">
        <v>37</v>
      </c>
      <c r="E13" s="31"/>
      <c r="F13" s="37" t="s">
        <v>38</v>
      </c>
      <c r="G13" s="34">
        <v>6950732</v>
      </c>
      <c r="H13" s="34">
        <v>1158910.05</v>
      </c>
      <c r="I13" s="34">
        <v>0</v>
      </c>
      <c r="J13" s="29">
        <f t="shared" si="0"/>
        <v>8109642.0499999998</v>
      </c>
      <c r="K13" s="34">
        <v>7052727</v>
      </c>
      <c r="L13" s="34">
        <v>60000</v>
      </c>
      <c r="M13" s="34"/>
      <c r="N13" s="29">
        <f t="shared" si="1"/>
        <v>7112727</v>
      </c>
      <c r="O13" s="35">
        <v>7036513</v>
      </c>
      <c r="P13" s="35">
        <v>63414</v>
      </c>
      <c r="Q13" s="35">
        <f>'коефіціенти (2)'!X23+'коефіціенти (2)'!X24+'коефіціенти (2)'!X26+'коефіціенти (2)'!X27+'коефіціенти (2)'!X28+'коефіціенти (2)'!X30+'коефіціенти (2)'!X31+'коефіціенти (2)'!X33+'коефіціенти (2)'!X87</f>
        <v>0</v>
      </c>
      <c r="R13" s="29">
        <f t="shared" si="2"/>
        <v>7099927</v>
      </c>
      <c r="S13" s="415">
        <v>7402988</v>
      </c>
      <c r="T13" s="35">
        <v>65684</v>
      </c>
      <c r="U13" s="35">
        <f>'коефіціенти (2)'!Y23+'коефіціенти (2)'!Y24+'коефіціенти (2)'!Y26+'коефіціенти (2)'!Y27+'коефіціенти (2)'!Y28+'коефіціенти (2)'!Y30+'коефіціенти (2)'!Y31+'коефіціенти (2)'!Y33+'коефіціенти (2)'!Y87</f>
        <v>0</v>
      </c>
      <c r="V13" s="29">
        <f t="shared" si="3"/>
        <v>7468672</v>
      </c>
      <c r="W13" s="30"/>
    </row>
    <row r="14" spans="1:23" s="18" customFormat="1" ht="21.75" customHeight="1" x14ac:dyDescent="0.2">
      <c r="A14" s="36"/>
      <c r="B14" s="31"/>
      <c r="C14" s="31"/>
      <c r="D14" s="32" t="s">
        <v>39</v>
      </c>
      <c r="E14" s="31"/>
      <c r="F14" s="33" t="s">
        <v>40</v>
      </c>
      <c r="G14" s="34">
        <v>7928441</v>
      </c>
      <c r="H14" s="34">
        <v>4388216.7300000004</v>
      </c>
      <c r="I14" s="34">
        <v>38534</v>
      </c>
      <c r="J14" s="29">
        <f t="shared" si="0"/>
        <v>12316657.73</v>
      </c>
      <c r="K14" s="34">
        <v>8044782</v>
      </c>
      <c r="L14" s="34">
        <v>14000</v>
      </c>
      <c r="M14" s="34"/>
      <c r="N14" s="29">
        <f t="shared" si="1"/>
        <v>8058782</v>
      </c>
      <c r="O14" s="35">
        <v>8593697</v>
      </c>
      <c r="P14" s="35">
        <v>14796.599999999991</v>
      </c>
      <c r="Q14" s="35">
        <f>'коефіціенти (2)'!X90-'коефіціенти (2)'!X92-'коефіціенти (2)'!X98-'коефіціенти (2)'!X99</f>
        <v>0</v>
      </c>
      <c r="R14" s="29">
        <f t="shared" si="2"/>
        <v>8608493.5999999996</v>
      </c>
      <c r="S14" s="415">
        <v>9289877</v>
      </c>
      <c r="T14" s="35">
        <v>15326</v>
      </c>
      <c r="U14" s="35">
        <f>'коефіціенти (2)'!Y90-'коефіціенти (2)'!Y92-'коефіціенти (2)'!Y98-'коефіціенти (2)'!Y99</f>
        <v>0</v>
      </c>
      <c r="V14" s="29">
        <f t="shared" si="3"/>
        <v>9305203</v>
      </c>
      <c r="W14" s="30"/>
    </row>
    <row r="15" spans="1:23" s="18" customFormat="1" ht="22.5" customHeight="1" x14ac:dyDescent="0.2">
      <c r="A15" s="36"/>
      <c r="B15" s="31"/>
      <c r="C15" s="31"/>
      <c r="D15" s="32" t="s">
        <v>41</v>
      </c>
      <c r="E15" s="31"/>
      <c r="F15" s="33" t="s">
        <v>42</v>
      </c>
      <c r="G15" s="34">
        <v>3543230</v>
      </c>
      <c r="H15" s="38">
        <v>0</v>
      </c>
      <c r="I15" s="38"/>
      <c r="J15" s="29">
        <f t="shared" si="0"/>
        <v>3543230</v>
      </c>
      <c r="K15" s="34">
        <v>3595223</v>
      </c>
      <c r="L15" s="38"/>
      <c r="M15" s="38"/>
      <c r="N15" s="29">
        <f t="shared" si="1"/>
        <v>3595223</v>
      </c>
      <c r="O15" s="35">
        <v>3722198</v>
      </c>
      <c r="P15" s="35">
        <f>'коефіціенти (2)'!AM35+'коефіціенти (2)'!AM38</f>
        <v>0</v>
      </c>
      <c r="Q15" s="35">
        <f>'коефіціенти (2)'!X35+'коефіціенти (2)'!X38</f>
        <v>0</v>
      </c>
      <c r="R15" s="29">
        <f t="shared" si="2"/>
        <v>3722198</v>
      </c>
      <c r="S15" s="415">
        <v>3920988</v>
      </c>
      <c r="T15" s="35">
        <f>'коефіціенти (2)'!AN35+'коефіціенти (2)'!AN38</f>
        <v>0</v>
      </c>
      <c r="U15" s="35">
        <f>'коефіціенти (2)'!Y35+'коефіціенти (2)'!Y38</f>
        <v>0</v>
      </c>
      <c r="V15" s="29">
        <f t="shared" si="3"/>
        <v>3920988</v>
      </c>
      <c r="W15" s="30"/>
    </row>
    <row r="16" spans="1:23" s="18" customFormat="1" ht="21.75" customHeight="1" x14ac:dyDescent="0.2">
      <c r="A16" s="36"/>
      <c r="B16" s="31" t="s">
        <v>43</v>
      </c>
      <c r="C16" s="32"/>
      <c r="D16" s="32" t="s">
        <v>44</v>
      </c>
      <c r="E16" s="32" t="s">
        <v>45</v>
      </c>
      <c r="F16" s="33" t="s">
        <v>46</v>
      </c>
      <c r="G16" s="34">
        <v>5160595</v>
      </c>
      <c r="H16" s="34">
        <v>358886</v>
      </c>
      <c r="I16" s="34">
        <v>324316</v>
      </c>
      <c r="J16" s="29">
        <f t="shared" si="0"/>
        <v>5519481</v>
      </c>
      <c r="K16" s="34">
        <v>5236321</v>
      </c>
      <c r="L16" s="34">
        <f>500000-500000</f>
        <v>0</v>
      </c>
      <c r="M16" s="34">
        <f>500000-500000</f>
        <v>0</v>
      </c>
      <c r="N16" s="29">
        <f t="shared" si="1"/>
        <v>5236321</v>
      </c>
      <c r="O16" s="35">
        <v>3576318</v>
      </c>
      <c r="P16" s="35">
        <f>'коефіціенти (2)'!AM42+'коефіціенти (2)'!AM43+'коефіціенти (2)'!AM44+'коефіціенти (2)'!AM47</f>
        <v>0</v>
      </c>
      <c r="Q16" s="35">
        <f>'коефіціенти (2)'!X42+'коефіціенти (2)'!X43+'коефіціенти (2)'!X47</f>
        <v>0</v>
      </c>
      <c r="R16" s="29">
        <f t="shared" si="2"/>
        <v>3576318</v>
      </c>
      <c r="S16" s="415">
        <v>3250486</v>
      </c>
      <c r="T16" s="35"/>
      <c r="U16" s="35">
        <f>'коефіціенти (2)'!Y42+'коефіціенти (2)'!Y43+'коефіціенти (2)'!Y44+'коефіціенти (2)'!Y47</f>
        <v>0</v>
      </c>
      <c r="V16" s="29">
        <f t="shared" si="3"/>
        <v>3250486</v>
      </c>
      <c r="W16" s="30"/>
    </row>
    <row r="17" spans="1:23" s="18" customFormat="1" ht="21.75" customHeight="1" x14ac:dyDescent="0.2">
      <c r="A17" s="36"/>
      <c r="B17" s="31"/>
      <c r="C17" s="32"/>
      <c r="D17" s="32" t="s">
        <v>47</v>
      </c>
      <c r="E17" s="32"/>
      <c r="F17" s="37" t="s">
        <v>48</v>
      </c>
      <c r="G17" s="34">
        <v>1688984</v>
      </c>
      <c r="H17" s="38">
        <v>11950033.029999999</v>
      </c>
      <c r="I17" s="38">
        <v>11950033.029999999</v>
      </c>
      <c r="J17" s="29">
        <f t="shared" si="0"/>
        <v>13639017.029999999</v>
      </c>
      <c r="K17" s="34">
        <v>1713768</v>
      </c>
      <c r="L17" s="38"/>
      <c r="M17" s="38"/>
      <c r="N17" s="29">
        <f t="shared" si="1"/>
        <v>1713768</v>
      </c>
      <c r="O17" s="35">
        <v>757857</v>
      </c>
      <c r="P17" s="35"/>
      <c r="Q17" s="35"/>
      <c r="R17" s="29">
        <f t="shared" si="2"/>
        <v>757857</v>
      </c>
      <c r="S17" s="415">
        <v>593551</v>
      </c>
      <c r="T17" s="35"/>
      <c r="U17" s="35"/>
      <c r="V17" s="29">
        <f t="shared" si="3"/>
        <v>593551</v>
      </c>
      <c r="W17" s="30"/>
    </row>
    <row r="18" spans="1:23" s="18" customFormat="1" ht="20.25" customHeight="1" x14ac:dyDescent="0.2">
      <c r="A18" s="36"/>
      <c r="B18" s="31" t="s">
        <v>49</v>
      </c>
      <c r="C18" s="32"/>
      <c r="D18" s="32" t="s">
        <v>50</v>
      </c>
      <c r="E18" s="32" t="s">
        <v>51</v>
      </c>
      <c r="F18" s="33" t="s">
        <v>52</v>
      </c>
      <c r="G18" s="34">
        <v>377200</v>
      </c>
      <c r="H18" s="34">
        <v>97879</v>
      </c>
      <c r="I18" s="34"/>
      <c r="J18" s="29">
        <f t="shared" si="0"/>
        <v>475079</v>
      </c>
      <c r="K18" s="34">
        <v>382735</v>
      </c>
      <c r="L18" s="34">
        <v>74500</v>
      </c>
      <c r="M18" s="34"/>
      <c r="N18" s="29">
        <f t="shared" si="1"/>
        <v>457235</v>
      </c>
      <c r="O18" s="35">
        <v>219168</v>
      </c>
      <c r="P18" s="35">
        <v>75400</v>
      </c>
      <c r="Q18" s="35">
        <f>'коефіціенти (2)'!X54+'коефіціенти (2)'!X55+'коефіціенти (2)'!X57+'коефіціенти (2)'!X58+'коефіціенти (2)'!X59</f>
        <v>0</v>
      </c>
      <c r="R18" s="29">
        <f t="shared" si="2"/>
        <v>294568</v>
      </c>
      <c r="S18" s="415">
        <v>196373</v>
      </c>
      <c r="T18" s="35">
        <v>76300</v>
      </c>
      <c r="U18" s="35">
        <f>'коефіціенти (2)'!Y54+'коефіціенти (2)'!Y55+'коефіціенти (2)'!Y57+'коефіціенти (2)'!Y58+'коефіціенти (2)'!Y59</f>
        <v>0</v>
      </c>
      <c r="V18" s="29">
        <f t="shared" si="3"/>
        <v>272673</v>
      </c>
      <c r="W18" s="30"/>
    </row>
    <row r="19" spans="1:23" s="18" customFormat="1" ht="15" hidden="1" customHeight="1" x14ac:dyDescent="0.2">
      <c r="A19" s="36"/>
      <c r="B19" s="31"/>
      <c r="C19" s="32"/>
      <c r="D19" s="32"/>
      <c r="E19" s="32"/>
      <c r="F19" s="37"/>
      <c r="G19" s="34"/>
      <c r="H19" s="38"/>
      <c r="I19" s="38"/>
      <c r="J19" s="29">
        <f t="shared" si="0"/>
        <v>0</v>
      </c>
      <c r="K19" s="34">
        <v>0</v>
      </c>
      <c r="L19" s="38"/>
      <c r="M19" s="38"/>
      <c r="N19" s="29">
        <f t="shared" si="1"/>
        <v>0</v>
      </c>
      <c r="O19" s="35">
        <v>0</v>
      </c>
      <c r="P19" s="35">
        <f t="shared" ref="P19:Q27" si="4">L19*105.3</f>
        <v>0</v>
      </c>
      <c r="Q19" s="35">
        <f t="shared" si="4"/>
        <v>0</v>
      </c>
      <c r="R19" s="29">
        <f t="shared" si="2"/>
        <v>0</v>
      </c>
      <c r="S19" s="415">
        <v>0</v>
      </c>
      <c r="T19" s="35">
        <f t="shared" ref="S19:U75" si="5">P19*105.1</f>
        <v>0</v>
      </c>
      <c r="U19" s="35">
        <f t="shared" si="5"/>
        <v>0</v>
      </c>
      <c r="V19" s="29">
        <f t="shared" si="3"/>
        <v>0</v>
      </c>
      <c r="W19" s="30"/>
    </row>
    <row r="20" spans="1:23" s="18" customFormat="1" ht="15" hidden="1" customHeight="1" x14ac:dyDescent="0.2">
      <c r="A20" s="36"/>
      <c r="B20" s="31" t="s">
        <v>53</v>
      </c>
      <c r="C20" s="32"/>
      <c r="D20" s="32" t="s">
        <v>54</v>
      </c>
      <c r="E20" s="32" t="s">
        <v>54</v>
      </c>
      <c r="F20" s="39" t="s">
        <v>55</v>
      </c>
      <c r="G20" s="34"/>
      <c r="H20" s="38"/>
      <c r="I20" s="38"/>
      <c r="J20" s="29">
        <f t="shared" si="0"/>
        <v>0</v>
      </c>
      <c r="K20" s="34">
        <v>0</v>
      </c>
      <c r="L20" s="38"/>
      <c r="M20" s="38"/>
      <c r="N20" s="29">
        <f t="shared" si="1"/>
        <v>0</v>
      </c>
      <c r="O20" s="35">
        <v>0</v>
      </c>
      <c r="P20" s="35">
        <f t="shared" si="4"/>
        <v>0</v>
      </c>
      <c r="Q20" s="35">
        <f t="shared" si="4"/>
        <v>0</v>
      </c>
      <c r="R20" s="29">
        <f t="shared" si="2"/>
        <v>0</v>
      </c>
      <c r="S20" s="415">
        <v>0</v>
      </c>
      <c r="T20" s="35">
        <f t="shared" si="5"/>
        <v>0</v>
      </c>
      <c r="U20" s="35">
        <f t="shared" si="5"/>
        <v>0</v>
      </c>
      <c r="V20" s="29">
        <f t="shared" si="3"/>
        <v>0</v>
      </c>
      <c r="W20" s="30"/>
    </row>
    <row r="21" spans="1:23" s="18" customFormat="1" ht="23.25" customHeight="1" x14ac:dyDescent="0.2">
      <c r="A21" s="36"/>
      <c r="B21" s="32" t="s">
        <v>56</v>
      </c>
      <c r="C21" s="31"/>
      <c r="D21" s="32" t="s">
        <v>57</v>
      </c>
      <c r="E21" s="32" t="s">
        <v>58</v>
      </c>
      <c r="F21" s="37" t="s">
        <v>59</v>
      </c>
      <c r="G21" s="34">
        <v>4525364</v>
      </c>
      <c r="H21" s="38">
        <v>71000</v>
      </c>
      <c r="I21" s="38">
        <v>71000</v>
      </c>
      <c r="J21" s="29">
        <f t="shared" si="0"/>
        <v>4596364</v>
      </c>
      <c r="K21" s="34">
        <v>126167</v>
      </c>
      <c r="L21" s="38"/>
      <c r="M21" s="38"/>
      <c r="N21" s="29">
        <f t="shared" si="1"/>
        <v>126167</v>
      </c>
      <c r="O21" s="35">
        <f>45847-546</f>
        <v>45301</v>
      </c>
      <c r="P21" s="35">
        <f>'коефіціенти (2)'!AM60+'коефіціенти (2)'!AM67</f>
        <v>0</v>
      </c>
      <c r="Q21" s="35">
        <f>'коефіціенти (2)'!X60+'коефіціенти (2)'!X67</f>
        <v>0</v>
      </c>
      <c r="R21" s="29">
        <f>O21+P21</f>
        <v>45301</v>
      </c>
      <c r="S21" s="415">
        <f>35907+26</f>
        <v>35933</v>
      </c>
      <c r="T21" s="35">
        <f>'коефіціенти (2)'!AN60+'коефіціенти (2)'!AN67</f>
        <v>0</v>
      </c>
      <c r="U21" s="35">
        <f>'коефіціенти (2)'!Y60+'коефіціенти (2)'!Y67</f>
        <v>0</v>
      </c>
      <c r="V21" s="29">
        <f t="shared" si="3"/>
        <v>35933</v>
      </c>
      <c r="W21" s="30"/>
    </row>
    <row r="22" spans="1:23" s="18" customFormat="1" ht="30" hidden="1" x14ac:dyDescent="0.2">
      <c r="A22" s="36"/>
      <c r="B22" s="32" t="s">
        <v>60</v>
      </c>
      <c r="C22" s="32"/>
      <c r="D22" s="32" t="s">
        <v>61</v>
      </c>
      <c r="E22" s="32" t="s">
        <v>62</v>
      </c>
      <c r="F22" s="40" t="s">
        <v>63</v>
      </c>
      <c r="G22" s="41"/>
      <c r="H22" s="38"/>
      <c r="I22" s="38"/>
      <c r="J22" s="29">
        <f t="shared" si="0"/>
        <v>0</v>
      </c>
      <c r="K22" s="41">
        <v>0</v>
      </c>
      <c r="L22" s="38"/>
      <c r="M22" s="38"/>
      <c r="N22" s="29">
        <f t="shared" si="1"/>
        <v>0</v>
      </c>
      <c r="O22" s="29"/>
      <c r="P22" s="35">
        <f t="shared" si="4"/>
        <v>0</v>
      </c>
      <c r="Q22" s="35">
        <f t="shared" si="4"/>
        <v>0</v>
      </c>
      <c r="R22" s="29">
        <f t="shared" si="2"/>
        <v>0</v>
      </c>
      <c r="S22" s="35">
        <f t="shared" si="5"/>
        <v>0</v>
      </c>
      <c r="T22" s="35">
        <f t="shared" si="5"/>
        <v>0</v>
      </c>
      <c r="U22" s="35">
        <f t="shared" si="5"/>
        <v>0</v>
      </c>
      <c r="V22" s="29">
        <f t="shared" si="3"/>
        <v>0</v>
      </c>
      <c r="W22" s="30"/>
    </row>
    <row r="23" spans="1:23" s="18" customFormat="1" ht="15" hidden="1" x14ac:dyDescent="0.2">
      <c r="A23" s="36"/>
      <c r="B23" s="32"/>
      <c r="C23" s="31"/>
      <c r="D23" s="32"/>
      <c r="E23" s="32"/>
      <c r="F23" s="42"/>
      <c r="G23" s="41"/>
      <c r="H23" s="43"/>
      <c r="I23" s="43"/>
      <c r="J23" s="29">
        <f t="shared" si="0"/>
        <v>0</v>
      </c>
      <c r="K23" s="41">
        <v>0</v>
      </c>
      <c r="L23" s="43"/>
      <c r="M23" s="43"/>
      <c r="N23" s="29">
        <f t="shared" si="1"/>
        <v>0</v>
      </c>
      <c r="O23" s="29"/>
      <c r="P23" s="35">
        <f t="shared" si="4"/>
        <v>0</v>
      </c>
      <c r="Q23" s="35">
        <f t="shared" si="4"/>
        <v>0</v>
      </c>
      <c r="R23" s="29">
        <f t="shared" si="2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29">
        <f t="shared" si="3"/>
        <v>0</v>
      </c>
      <c r="W23" s="30"/>
    </row>
    <row r="24" spans="1:23" s="18" customFormat="1" ht="45" hidden="1" x14ac:dyDescent="0.2">
      <c r="A24" s="36"/>
      <c r="B24" s="32" t="s">
        <v>64</v>
      </c>
      <c r="C24" s="32"/>
      <c r="D24" s="32" t="s">
        <v>65</v>
      </c>
      <c r="E24" s="32" t="s">
        <v>62</v>
      </c>
      <c r="F24" s="40" t="s">
        <v>66</v>
      </c>
      <c r="G24" s="41"/>
      <c r="H24" s="38"/>
      <c r="I24" s="38"/>
      <c r="J24" s="29">
        <f t="shared" si="0"/>
        <v>0</v>
      </c>
      <c r="K24" s="41">
        <v>0</v>
      </c>
      <c r="L24" s="38"/>
      <c r="M24" s="38"/>
      <c r="N24" s="29">
        <f t="shared" si="1"/>
        <v>0</v>
      </c>
      <c r="O24" s="29"/>
      <c r="P24" s="35">
        <f t="shared" si="4"/>
        <v>0</v>
      </c>
      <c r="Q24" s="35">
        <f t="shared" si="4"/>
        <v>0</v>
      </c>
      <c r="R24" s="29">
        <f t="shared" si="2"/>
        <v>0</v>
      </c>
      <c r="S24" s="35">
        <f t="shared" si="5"/>
        <v>0</v>
      </c>
      <c r="T24" s="35">
        <f t="shared" si="5"/>
        <v>0</v>
      </c>
      <c r="U24" s="35">
        <f t="shared" si="5"/>
        <v>0</v>
      </c>
      <c r="V24" s="29">
        <f t="shared" si="3"/>
        <v>0</v>
      </c>
      <c r="W24" s="30"/>
    </row>
    <row r="25" spans="1:23" s="18" customFormat="1" ht="15" hidden="1" x14ac:dyDescent="0.2">
      <c r="A25" s="36"/>
      <c r="B25" s="32" t="s">
        <v>67</v>
      </c>
      <c r="C25" s="32"/>
      <c r="D25" s="32" t="s">
        <v>68</v>
      </c>
      <c r="E25" s="32" t="s">
        <v>62</v>
      </c>
      <c r="F25" s="40" t="s">
        <v>69</v>
      </c>
      <c r="G25" s="41"/>
      <c r="H25" s="38"/>
      <c r="I25" s="38"/>
      <c r="J25" s="29">
        <f t="shared" si="0"/>
        <v>0</v>
      </c>
      <c r="K25" s="41">
        <v>0</v>
      </c>
      <c r="L25" s="38"/>
      <c r="M25" s="38"/>
      <c r="N25" s="29">
        <f t="shared" si="1"/>
        <v>0</v>
      </c>
      <c r="O25" s="29"/>
      <c r="P25" s="35">
        <f t="shared" si="4"/>
        <v>0</v>
      </c>
      <c r="Q25" s="35">
        <f t="shared" si="4"/>
        <v>0</v>
      </c>
      <c r="R25" s="29">
        <f t="shared" si="2"/>
        <v>0</v>
      </c>
      <c r="S25" s="35">
        <f t="shared" si="5"/>
        <v>0</v>
      </c>
      <c r="T25" s="35">
        <f t="shared" si="5"/>
        <v>0</v>
      </c>
      <c r="U25" s="35">
        <f t="shared" si="5"/>
        <v>0</v>
      </c>
      <c r="V25" s="29">
        <f t="shared" si="3"/>
        <v>0</v>
      </c>
      <c r="W25" s="30"/>
    </row>
    <row r="26" spans="1:23" s="18" customFormat="1" ht="75" hidden="1" x14ac:dyDescent="0.2">
      <c r="A26" s="36"/>
      <c r="B26" s="32" t="s">
        <v>70</v>
      </c>
      <c r="C26" s="32"/>
      <c r="D26" s="32" t="s">
        <v>71</v>
      </c>
      <c r="E26" s="32" t="s">
        <v>62</v>
      </c>
      <c r="F26" s="40" t="s">
        <v>72</v>
      </c>
      <c r="G26" s="41"/>
      <c r="H26" s="38"/>
      <c r="I26" s="38"/>
      <c r="J26" s="29">
        <f t="shared" si="0"/>
        <v>0</v>
      </c>
      <c r="K26" s="41">
        <v>0</v>
      </c>
      <c r="L26" s="38"/>
      <c r="M26" s="38"/>
      <c r="N26" s="29">
        <f t="shared" si="1"/>
        <v>0</v>
      </c>
      <c r="O26" s="29"/>
      <c r="P26" s="35">
        <f t="shared" si="4"/>
        <v>0</v>
      </c>
      <c r="Q26" s="35">
        <f t="shared" si="4"/>
        <v>0</v>
      </c>
      <c r="R26" s="29">
        <f t="shared" si="2"/>
        <v>0</v>
      </c>
      <c r="S26" s="35">
        <f t="shared" si="5"/>
        <v>0</v>
      </c>
      <c r="T26" s="35">
        <f t="shared" si="5"/>
        <v>0</v>
      </c>
      <c r="U26" s="35">
        <f t="shared" si="5"/>
        <v>0</v>
      </c>
      <c r="V26" s="29">
        <f t="shared" si="3"/>
        <v>0</v>
      </c>
      <c r="W26" s="30"/>
    </row>
    <row r="27" spans="1:23" s="18" customFormat="1" ht="30" hidden="1" x14ac:dyDescent="0.2">
      <c r="A27" s="36"/>
      <c r="B27" s="44" t="s">
        <v>73</v>
      </c>
      <c r="C27" s="32"/>
      <c r="D27" s="32" t="s">
        <v>74</v>
      </c>
      <c r="E27" s="32" t="s">
        <v>75</v>
      </c>
      <c r="F27" s="40" t="s">
        <v>76</v>
      </c>
      <c r="G27" s="41"/>
      <c r="H27" s="34"/>
      <c r="I27" s="34"/>
      <c r="J27" s="29">
        <f t="shared" si="0"/>
        <v>0</v>
      </c>
      <c r="K27" s="41">
        <v>0</v>
      </c>
      <c r="L27" s="34"/>
      <c r="M27" s="34"/>
      <c r="N27" s="29">
        <f t="shared" si="1"/>
        <v>0</v>
      </c>
      <c r="O27" s="29"/>
      <c r="P27" s="35">
        <f t="shared" si="4"/>
        <v>0</v>
      </c>
      <c r="Q27" s="35">
        <f t="shared" si="4"/>
        <v>0</v>
      </c>
      <c r="R27" s="29">
        <f t="shared" si="2"/>
        <v>0</v>
      </c>
      <c r="S27" s="35">
        <f t="shared" si="5"/>
        <v>0</v>
      </c>
      <c r="T27" s="35">
        <f t="shared" si="5"/>
        <v>0</v>
      </c>
      <c r="U27" s="35">
        <f t="shared" si="5"/>
        <v>0</v>
      </c>
      <c r="V27" s="29">
        <f t="shared" si="3"/>
        <v>0</v>
      </c>
      <c r="W27" s="30"/>
    </row>
    <row r="28" spans="1:23" s="18" customFormat="1" ht="30" hidden="1" x14ac:dyDescent="0.2">
      <c r="A28" s="36"/>
      <c r="B28" s="44" t="s">
        <v>77</v>
      </c>
      <c r="C28" s="32"/>
      <c r="D28" s="32" t="s">
        <v>78</v>
      </c>
      <c r="E28" s="32" t="s">
        <v>79</v>
      </c>
      <c r="F28" s="40" t="s">
        <v>80</v>
      </c>
      <c r="G28" s="41"/>
      <c r="H28" s="34"/>
      <c r="I28" s="34"/>
      <c r="J28" s="29">
        <f t="shared" si="0"/>
        <v>0</v>
      </c>
      <c r="K28" s="41">
        <v>0</v>
      </c>
      <c r="L28" s="34"/>
      <c r="M28" s="34"/>
      <c r="N28" s="29">
        <f t="shared" si="1"/>
        <v>0</v>
      </c>
      <c r="O28" s="29"/>
      <c r="P28" s="35">
        <f t="shared" ref="P28:Q89" si="6">L28*105.3</f>
        <v>0</v>
      </c>
      <c r="Q28" s="35">
        <f t="shared" si="6"/>
        <v>0</v>
      </c>
      <c r="R28" s="29">
        <f t="shared" si="2"/>
        <v>0</v>
      </c>
      <c r="S28" s="35">
        <f t="shared" si="5"/>
        <v>0</v>
      </c>
      <c r="T28" s="35">
        <f t="shared" si="5"/>
        <v>0</v>
      </c>
      <c r="U28" s="35">
        <f t="shared" si="5"/>
        <v>0</v>
      </c>
      <c r="V28" s="29">
        <f t="shared" si="3"/>
        <v>0</v>
      </c>
      <c r="W28" s="30"/>
    </row>
    <row r="29" spans="1:23" s="18" customFormat="1" ht="45" hidden="1" x14ac:dyDescent="0.2">
      <c r="A29" s="36"/>
      <c r="B29" s="44" t="s">
        <v>81</v>
      </c>
      <c r="C29" s="32"/>
      <c r="D29" s="32" t="s">
        <v>82</v>
      </c>
      <c r="E29" s="32" t="s">
        <v>83</v>
      </c>
      <c r="F29" s="40" t="s">
        <v>84</v>
      </c>
      <c r="G29" s="41"/>
      <c r="H29" s="41"/>
      <c r="I29" s="41"/>
      <c r="J29" s="29">
        <f t="shared" si="0"/>
        <v>0</v>
      </c>
      <c r="K29" s="41">
        <v>0</v>
      </c>
      <c r="L29" s="41"/>
      <c r="M29" s="41"/>
      <c r="N29" s="29">
        <f t="shared" si="1"/>
        <v>0</v>
      </c>
      <c r="O29" s="29"/>
      <c r="P29" s="35">
        <f t="shared" si="6"/>
        <v>0</v>
      </c>
      <c r="Q29" s="35">
        <f t="shared" si="6"/>
        <v>0</v>
      </c>
      <c r="R29" s="29">
        <f t="shared" si="2"/>
        <v>0</v>
      </c>
      <c r="S29" s="35">
        <f t="shared" si="5"/>
        <v>0</v>
      </c>
      <c r="T29" s="35">
        <f t="shared" si="5"/>
        <v>0</v>
      </c>
      <c r="U29" s="35">
        <f t="shared" si="5"/>
        <v>0</v>
      </c>
      <c r="V29" s="29">
        <f t="shared" si="3"/>
        <v>0</v>
      </c>
      <c r="W29" s="30"/>
    </row>
    <row r="30" spans="1:23" s="18" customFormat="1" ht="30" hidden="1" x14ac:dyDescent="0.2">
      <c r="A30" s="36"/>
      <c r="B30" s="44" t="s">
        <v>85</v>
      </c>
      <c r="C30" s="32"/>
      <c r="D30" s="32" t="s">
        <v>86</v>
      </c>
      <c r="E30" s="32" t="s">
        <v>83</v>
      </c>
      <c r="F30" s="40" t="s">
        <v>87</v>
      </c>
      <c r="G30" s="41"/>
      <c r="H30" s="34"/>
      <c r="I30" s="34"/>
      <c r="J30" s="29">
        <f t="shared" si="0"/>
        <v>0</v>
      </c>
      <c r="K30" s="41">
        <v>0</v>
      </c>
      <c r="L30" s="34"/>
      <c r="M30" s="34"/>
      <c r="N30" s="29">
        <f t="shared" si="1"/>
        <v>0</v>
      </c>
      <c r="O30" s="29"/>
      <c r="P30" s="35">
        <f t="shared" si="6"/>
        <v>0</v>
      </c>
      <c r="Q30" s="35">
        <f t="shared" si="6"/>
        <v>0</v>
      </c>
      <c r="R30" s="29">
        <f t="shared" si="2"/>
        <v>0</v>
      </c>
      <c r="S30" s="35">
        <f t="shared" si="5"/>
        <v>0</v>
      </c>
      <c r="T30" s="35">
        <f t="shared" si="5"/>
        <v>0</v>
      </c>
      <c r="U30" s="35">
        <f t="shared" si="5"/>
        <v>0</v>
      </c>
      <c r="V30" s="29">
        <f t="shared" si="3"/>
        <v>0</v>
      </c>
      <c r="W30" s="30"/>
    </row>
    <row r="31" spans="1:23" s="18" customFormat="1" ht="15" hidden="1" x14ac:dyDescent="0.2">
      <c r="A31" s="36"/>
      <c r="B31" s="45"/>
      <c r="C31" s="31"/>
      <c r="D31" s="31"/>
      <c r="E31" s="31"/>
      <c r="F31" s="42"/>
      <c r="G31" s="41"/>
      <c r="H31" s="41"/>
      <c r="I31" s="41"/>
      <c r="J31" s="29">
        <f t="shared" si="0"/>
        <v>0</v>
      </c>
      <c r="K31" s="41">
        <v>0</v>
      </c>
      <c r="L31" s="41"/>
      <c r="M31" s="41"/>
      <c r="N31" s="29">
        <f t="shared" si="1"/>
        <v>0</v>
      </c>
      <c r="O31" s="29"/>
      <c r="P31" s="35">
        <f t="shared" si="6"/>
        <v>0</v>
      </c>
      <c r="Q31" s="35">
        <f t="shared" si="6"/>
        <v>0</v>
      </c>
      <c r="R31" s="29">
        <f t="shared" si="2"/>
        <v>0</v>
      </c>
      <c r="S31" s="35">
        <f t="shared" si="5"/>
        <v>0</v>
      </c>
      <c r="T31" s="35">
        <f t="shared" si="5"/>
        <v>0</v>
      </c>
      <c r="U31" s="35">
        <f t="shared" si="5"/>
        <v>0</v>
      </c>
      <c r="V31" s="29">
        <f t="shared" si="3"/>
        <v>0</v>
      </c>
      <c r="W31" s="30"/>
    </row>
    <row r="32" spans="1:23" s="18" customFormat="1" ht="30" hidden="1" x14ac:dyDescent="0.2">
      <c r="A32" s="36"/>
      <c r="B32" s="44" t="s">
        <v>88</v>
      </c>
      <c r="C32" s="32"/>
      <c r="D32" s="32" t="s">
        <v>89</v>
      </c>
      <c r="E32" s="32" t="s">
        <v>90</v>
      </c>
      <c r="F32" s="40" t="s">
        <v>91</v>
      </c>
      <c r="G32" s="41"/>
      <c r="H32" s="34"/>
      <c r="I32" s="34"/>
      <c r="J32" s="29">
        <f t="shared" si="0"/>
        <v>0</v>
      </c>
      <c r="K32" s="41">
        <v>0</v>
      </c>
      <c r="L32" s="34"/>
      <c r="M32" s="34"/>
      <c r="N32" s="29">
        <f t="shared" si="1"/>
        <v>0</v>
      </c>
      <c r="O32" s="29"/>
      <c r="P32" s="35">
        <f t="shared" si="6"/>
        <v>0</v>
      </c>
      <c r="Q32" s="35">
        <f t="shared" si="6"/>
        <v>0</v>
      </c>
      <c r="R32" s="29">
        <f t="shared" si="2"/>
        <v>0</v>
      </c>
      <c r="S32" s="35">
        <f t="shared" si="5"/>
        <v>0</v>
      </c>
      <c r="T32" s="35">
        <f t="shared" si="5"/>
        <v>0</v>
      </c>
      <c r="U32" s="35">
        <f t="shared" si="5"/>
        <v>0</v>
      </c>
      <c r="V32" s="29">
        <f t="shared" si="3"/>
        <v>0</v>
      </c>
      <c r="W32" s="30"/>
    </row>
    <row r="33" spans="1:23" s="18" customFormat="1" ht="15" hidden="1" x14ac:dyDescent="0.2">
      <c r="A33" s="36"/>
      <c r="B33" s="45"/>
      <c r="C33" s="31"/>
      <c r="D33" s="31"/>
      <c r="E33" s="31"/>
      <c r="F33" s="42"/>
      <c r="G33" s="41"/>
      <c r="H33" s="41"/>
      <c r="I33" s="41"/>
      <c r="J33" s="29">
        <f t="shared" si="0"/>
        <v>0</v>
      </c>
      <c r="K33" s="41">
        <v>0</v>
      </c>
      <c r="L33" s="41"/>
      <c r="M33" s="41"/>
      <c r="N33" s="29">
        <f t="shared" si="1"/>
        <v>0</v>
      </c>
      <c r="O33" s="29"/>
      <c r="P33" s="35">
        <f t="shared" si="6"/>
        <v>0</v>
      </c>
      <c r="Q33" s="35">
        <f t="shared" si="6"/>
        <v>0</v>
      </c>
      <c r="R33" s="29">
        <f t="shared" si="2"/>
        <v>0</v>
      </c>
      <c r="S33" s="35">
        <f t="shared" si="5"/>
        <v>0</v>
      </c>
      <c r="T33" s="35">
        <f t="shared" si="5"/>
        <v>0</v>
      </c>
      <c r="U33" s="35">
        <f t="shared" si="5"/>
        <v>0</v>
      </c>
      <c r="V33" s="29">
        <f t="shared" si="3"/>
        <v>0</v>
      </c>
      <c r="W33" s="30"/>
    </row>
    <row r="34" spans="1:23" s="18" customFormat="1" ht="39.75" hidden="1" customHeight="1" x14ac:dyDescent="0.2">
      <c r="A34" s="36"/>
      <c r="B34" s="44"/>
      <c r="C34" s="32"/>
      <c r="D34" s="32"/>
      <c r="E34" s="32"/>
      <c r="F34" s="40" t="s">
        <v>92</v>
      </c>
      <c r="G34" s="41"/>
      <c r="H34" s="34"/>
      <c r="I34" s="34"/>
      <c r="J34" s="29">
        <f t="shared" si="0"/>
        <v>0</v>
      </c>
      <c r="K34" s="41">
        <v>0</v>
      </c>
      <c r="L34" s="34"/>
      <c r="M34" s="34"/>
      <c r="N34" s="29">
        <f t="shared" si="1"/>
        <v>0</v>
      </c>
      <c r="O34" s="29"/>
      <c r="P34" s="35">
        <f t="shared" si="6"/>
        <v>0</v>
      </c>
      <c r="Q34" s="35">
        <f t="shared" si="6"/>
        <v>0</v>
      </c>
      <c r="R34" s="29">
        <f t="shared" si="2"/>
        <v>0</v>
      </c>
      <c r="S34" s="35">
        <f t="shared" si="5"/>
        <v>0</v>
      </c>
      <c r="T34" s="35">
        <f t="shared" si="5"/>
        <v>0</v>
      </c>
      <c r="U34" s="35">
        <f t="shared" si="5"/>
        <v>0</v>
      </c>
      <c r="V34" s="29">
        <f t="shared" si="3"/>
        <v>0</v>
      </c>
      <c r="W34" s="30"/>
    </row>
    <row r="35" spans="1:23" s="18" customFormat="1" ht="45" hidden="1" x14ac:dyDescent="0.2">
      <c r="A35" s="36"/>
      <c r="B35" s="44" t="s">
        <v>93</v>
      </c>
      <c r="C35" s="32"/>
      <c r="D35" s="32" t="s">
        <v>94</v>
      </c>
      <c r="E35" s="32" t="s">
        <v>90</v>
      </c>
      <c r="F35" s="40" t="s">
        <v>95</v>
      </c>
      <c r="G35" s="41"/>
      <c r="H35" s="34"/>
      <c r="I35" s="34"/>
      <c r="J35" s="29">
        <f t="shared" si="0"/>
        <v>0</v>
      </c>
      <c r="K35" s="41">
        <v>0</v>
      </c>
      <c r="L35" s="34"/>
      <c r="M35" s="34"/>
      <c r="N35" s="29">
        <f t="shared" si="1"/>
        <v>0</v>
      </c>
      <c r="O35" s="29"/>
      <c r="P35" s="35">
        <f t="shared" si="6"/>
        <v>0</v>
      </c>
      <c r="Q35" s="35">
        <f t="shared" si="6"/>
        <v>0</v>
      </c>
      <c r="R35" s="29">
        <f t="shared" si="2"/>
        <v>0</v>
      </c>
      <c r="S35" s="35">
        <f t="shared" si="5"/>
        <v>0</v>
      </c>
      <c r="T35" s="35">
        <f t="shared" si="5"/>
        <v>0</v>
      </c>
      <c r="U35" s="35">
        <f t="shared" si="5"/>
        <v>0</v>
      </c>
      <c r="V35" s="29">
        <f t="shared" si="3"/>
        <v>0</v>
      </c>
      <c r="W35" s="30"/>
    </row>
    <row r="36" spans="1:23" s="18" customFormat="1" ht="30" hidden="1" customHeight="1" x14ac:dyDescent="0.2">
      <c r="A36" s="36"/>
      <c r="B36" s="46"/>
      <c r="C36" s="32"/>
      <c r="D36" s="32"/>
      <c r="E36" s="44"/>
      <c r="F36" s="40" t="s">
        <v>92</v>
      </c>
      <c r="G36" s="41"/>
      <c r="H36" s="34"/>
      <c r="I36" s="34"/>
      <c r="J36" s="29">
        <f t="shared" si="0"/>
        <v>0</v>
      </c>
      <c r="K36" s="41">
        <v>0</v>
      </c>
      <c r="L36" s="34"/>
      <c r="M36" s="34"/>
      <c r="N36" s="29">
        <f t="shared" si="1"/>
        <v>0</v>
      </c>
      <c r="O36" s="29"/>
      <c r="P36" s="35">
        <f t="shared" si="6"/>
        <v>0</v>
      </c>
      <c r="Q36" s="35">
        <f t="shared" si="6"/>
        <v>0</v>
      </c>
      <c r="R36" s="29">
        <f t="shared" si="2"/>
        <v>0</v>
      </c>
      <c r="S36" s="35">
        <f t="shared" si="5"/>
        <v>0</v>
      </c>
      <c r="T36" s="35">
        <f t="shared" si="5"/>
        <v>0</v>
      </c>
      <c r="U36" s="35">
        <f t="shared" si="5"/>
        <v>0</v>
      </c>
      <c r="V36" s="29">
        <f t="shared" si="3"/>
        <v>0</v>
      </c>
      <c r="W36" s="30"/>
    </row>
    <row r="37" spans="1:23" s="18" customFormat="1" ht="53.25" hidden="1" customHeight="1" x14ac:dyDescent="0.2">
      <c r="A37" s="36"/>
      <c r="B37" s="46"/>
      <c r="C37" s="32"/>
      <c r="D37" s="44"/>
      <c r="E37" s="44"/>
      <c r="F37" s="39"/>
      <c r="G37" s="41"/>
      <c r="H37" s="34"/>
      <c r="I37" s="34"/>
      <c r="J37" s="29">
        <f t="shared" si="0"/>
        <v>0</v>
      </c>
      <c r="K37" s="41">
        <v>0</v>
      </c>
      <c r="L37" s="34"/>
      <c r="M37" s="34"/>
      <c r="N37" s="29">
        <f t="shared" si="1"/>
        <v>0</v>
      </c>
      <c r="O37" s="29"/>
      <c r="P37" s="35">
        <f t="shared" si="6"/>
        <v>0</v>
      </c>
      <c r="Q37" s="35">
        <f t="shared" si="6"/>
        <v>0</v>
      </c>
      <c r="R37" s="29">
        <f t="shared" si="2"/>
        <v>0</v>
      </c>
      <c r="S37" s="35">
        <f t="shared" si="5"/>
        <v>0</v>
      </c>
      <c r="T37" s="35">
        <f t="shared" si="5"/>
        <v>0</v>
      </c>
      <c r="U37" s="35">
        <f t="shared" si="5"/>
        <v>0</v>
      </c>
      <c r="V37" s="29">
        <f t="shared" si="3"/>
        <v>0</v>
      </c>
      <c r="W37" s="30"/>
    </row>
    <row r="38" spans="1:23" s="18" customFormat="1" ht="30" hidden="1" x14ac:dyDescent="0.2">
      <c r="A38" s="36"/>
      <c r="B38" s="45"/>
      <c r="C38" s="31"/>
      <c r="D38" s="45"/>
      <c r="E38" s="45"/>
      <c r="F38" s="40" t="s">
        <v>92</v>
      </c>
      <c r="G38" s="41"/>
      <c r="H38" s="38"/>
      <c r="I38" s="38"/>
      <c r="J38" s="29">
        <f t="shared" si="0"/>
        <v>0</v>
      </c>
      <c r="K38" s="41">
        <v>0</v>
      </c>
      <c r="L38" s="38"/>
      <c r="M38" s="38"/>
      <c r="N38" s="29">
        <f t="shared" si="1"/>
        <v>0</v>
      </c>
      <c r="O38" s="29"/>
      <c r="P38" s="35">
        <f t="shared" si="6"/>
        <v>0</v>
      </c>
      <c r="Q38" s="35">
        <f t="shared" si="6"/>
        <v>0</v>
      </c>
      <c r="R38" s="29">
        <f t="shared" si="2"/>
        <v>0</v>
      </c>
      <c r="S38" s="35">
        <f t="shared" si="5"/>
        <v>0</v>
      </c>
      <c r="T38" s="35">
        <f t="shared" si="5"/>
        <v>0</v>
      </c>
      <c r="U38" s="35">
        <f t="shared" si="5"/>
        <v>0</v>
      </c>
      <c r="V38" s="29">
        <f t="shared" si="3"/>
        <v>0</v>
      </c>
      <c r="W38" s="30"/>
    </row>
    <row r="39" spans="1:23" s="18" customFormat="1" ht="30" hidden="1" x14ac:dyDescent="0.2">
      <c r="A39" s="36"/>
      <c r="B39" s="44" t="s">
        <v>96</v>
      </c>
      <c r="C39" s="32"/>
      <c r="D39" s="32" t="s">
        <v>97</v>
      </c>
      <c r="E39" s="32" t="s">
        <v>98</v>
      </c>
      <c r="F39" s="40" t="s">
        <v>99</v>
      </c>
      <c r="G39" s="41"/>
      <c r="H39" s="34"/>
      <c r="I39" s="34"/>
      <c r="J39" s="29">
        <f t="shared" si="0"/>
        <v>0</v>
      </c>
      <c r="K39" s="41">
        <v>0</v>
      </c>
      <c r="L39" s="34"/>
      <c r="M39" s="34"/>
      <c r="N39" s="29">
        <f t="shared" si="1"/>
        <v>0</v>
      </c>
      <c r="O39" s="29"/>
      <c r="P39" s="35">
        <f t="shared" si="6"/>
        <v>0</v>
      </c>
      <c r="Q39" s="35">
        <f t="shared" si="6"/>
        <v>0</v>
      </c>
      <c r="R39" s="29">
        <f t="shared" si="2"/>
        <v>0</v>
      </c>
      <c r="S39" s="35">
        <f t="shared" si="5"/>
        <v>0</v>
      </c>
      <c r="T39" s="35">
        <f t="shared" si="5"/>
        <v>0</v>
      </c>
      <c r="U39" s="35">
        <f t="shared" si="5"/>
        <v>0</v>
      </c>
      <c r="V39" s="29">
        <f t="shared" si="3"/>
        <v>0</v>
      </c>
      <c r="W39" s="30"/>
    </row>
    <row r="40" spans="1:23" s="18" customFormat="1" ht="30" hidden="1" x14ac:dyDescent="0.2">
      <c r="A40" s="36"/>
      <c r="B40" s="44" t="s">
        <v>100</v>
      </c>
      <c r="C40" s="32"/>
      <c r="D40" s="32" t="s">
        <v>101</v>
      </c>
      <c r="E40" s="32" t="s">
        <v>98</v>
      </c>
      <c r="F40" s="40" t="s">
        <v>102</v>
      </c>
      <c r="G40" s="41"/>
      <c r="H40" s="34"/>
      <c r="I40" s="34"/>
      <c r="J40" s="29">
        <f t="shared" si="0"/>
        <v>0</v>
      </c>
      <c r="K40" s="41">
        <v>0</v>
      </c>
      <c r="L40" s="34"/>
      <c r="M40" s="34"/>
      <c r="N40" s="29">
        <f t="shared" si="1"/>
        <v>0</v>
      </c>
      <c r="O40" s="29"/>
      <c r="P40" s="35">
        <f t="shared" si="6"/>
        <v>0</v>
      </c>
      <c r="Q40" s="35">
        <f t="shared" si="6"/>
        <v>0</v>
      </c>
      <c r="R40" s="29">
        <f t="shared" si="2"/>
        <v>0</v>
      </c>
      <c r="S40" s="35">
        <f t="shared" si="5"/>
        <v>0</v>
      </c>
      <c r="T40" s="35">
        <f t="shared" si="5"/>
        <v>0</v>
      </c>
      <c r="U40" s="35">
        <f t="shared" si="5"/>
        <v>0</v>
      </c>
      <c r="V40" s="29">
        <f t="shared" si="3"/>
        <v>0</v>
      </c>
      <c r="W40" s="30"/>
    </row>
    <row r="41" spans="1:23" s="18" customFormat="1" ht="15" hidden="1" x14ac:dyDescent="0.2">
      <c r="A41" s="36"/>
      <c r="B41" s="44" t="s">
        <v>103</v>
      </c>
      <c r="C41" s="32"/>
      <c r="D41" s="32" t="s">
        <v>104</v>
      </c>
      <c r="E41" s="32" t="s">
        <v>98</v>
      </c>
      <c r="F41" s="40" t="s">
        <v>105</v>
      </c>
      <c r="G41" s="41"/>
      <c r="H41" s="34"/>
      <c r="I41" s="34"/>
      <c r="J41" s="29">
        <f t="shared" si="0"/>
        <v>0</v>
      </c>
      <c r="K41" s="41">
        <v>0</v>
      </c>
      <c r="L41" s="34"/>
      <c r="M41" s="34"/>
      <c r="N41" s="29">
        <f t="shared" si="1"/>
        <v>0</v>
      </c>
      <c r="O41" s="29"/>
      <c r="P41" s="35">
        <f t="shared" si="6"/>
        <v>0</v>
      </c>
      <c r="Q41" s="35">
        <f t="shared" si="6"/>
        <v>0</v>
      </c>
      <c r="R41" s="29">
        <f t="shared" si="2"/>
        <v>0</v>
      </c>
      <c r="S41" s="35">
        <f t="shared" si="5"/>
        <v>0</v>
      </c>
      <c r="T41" s="35">
        <f t="shared" si="5"/>
        <v>0</v>
      </c>
      <c r="U41" s="35">
        <f t="shared" si="5"/>
        <v>0</v>
      </c>
      <c r="V41" s="29">
        <f t="shared" si="3"/>
        <v>0</v>
      </c>
      <c r="W41" s="30"/>
    </row>
    <row r="42" spans="1:23" s="18" customFormat="1" ht="15" hidden="1" x14ac:dyDescent="0.2">
      <c r="A42" s="36"/>
      <c r="B42" s="44"/>
      <c r="C42" s="32"/>
      <c r="D42" s="32"/>
      <c r="E42" s="44"/>
      <c r="F42" s="40"/>
      <c r="G42" s="41"/>
      <c r="H42" s="41"/>
      <c r="I42" s="41"/>
      <c r="J42" s="29">
        <f t="shared" si="0"/>
        <v>0</v>
      </c>
      <c r="K42" s="41">
        <v>0</v>
      </c>
      <c r="L42" s="41"/>
      <c r="M42" s="41"/>
      <c r="N42" s="29">
        <f t="shared" si="1"/>
        <v>0</v>
      </c>
      <c r="O42" s="29"/>
      <c r="P42" s="35">
        <f t="shared" si="6"/>
        <v>0</v>
      </c>
      <c r="Q42" s="35">
        <f t="shared" si="6"/>
        <v>0</v>
      </c>
      <c r="R42" s="29">
        <f t="shared" si="2"/>
        <v>0</v>
      </c>
      <c r="S42" s="35">
        <f t="shared" si="5"/>
        <v>0</v>
      </c>
      <c r="T42" s="35">
        <f t="shared" si="5"/>
        <v>0</v>
      </c>
      <c r="U42" s="35">
        <f t="shared" si="5"/>
        <v>0</v>
      </c>
      <c r="V42" s="29">
        <f t="shared" si="3"/>
        <v>0</v>
      </c>
      <c r="W42" s="30"/>
    </row>
    <row r="43" spans="1:23" s="18" customFormat="1" ht="105" hidden="1" x14ac:dyDescent="0.2">
      <c r="A43" s="36"/>
      <c r="B43" s="44" t="s">
        <v>106</v>
      </c>
      <c r="C43" s="32"/>
      <c r="D43" s="32" t="s">
        <v>107</v>
      </c>
      <c r="E43" s="32" t="s">
        <v>108</v>
      </c>
      <c r="F43" s="40" t="s">
        <v>109</v>
      </c>
      <c r="G43" s="41"/>
      <c r="H43" s="34"/>
      <c r="I43" s="34"/>
      <c r="J43" s="29">
        <f t="shared" si="0"/>
        <v>0</v>
      </c>
      <c r="K43" s="41">
        <v>0</v>
      </c>
      <c r="L43" s="34"/>
      <c r="M43" s="34"/>
      <c r="N43" s="29">
        <f t="shared" si="1"/>
        <v>0</v>
      </c>
      <c r="O43" s="29"/>
      <c r="P43" s="35">
        <f t="shared" si="6"/>
        <v>0</v>
      </c>
      <c r="Q43" s="35">
        <f t="shared" si="6"/>
        <v>0</v>
      </c>
      <c r="R43" s="29">
        <f t="shared" si="2"/>
        <v>0</v>
      </c>
      <c r="S43" s="35">
        <f t="shared" si="5"/>
        <v>0</v>
      </c>
      <c r="T43" s="35">
        <f t="shared" si="5"/>
        <v>0</v>
      </c>
      <c r="U43" s="35">
        <f t="shared" si="5"/>
        <v>0</v>
      </c>
      <c r="V43" s="29">
        <f t="shared" si="3"/>
        <v>0</v>
      </c>
      <c r="W43" s="30"/>
    </row>
    <row r="44" spans="1:23" s="18" customFormat="1" ht="30" hidden="1" x14ac:dyDescent="0.2">
      <c r="A44" s="36"/>
      <c r="B44" s="44" t="s">
        <v>110</v>
      </c>
      <c r="C44" s="32"/>
      <c r="D44" s="32" t="s">
        <v>111</v>
      </c>
      <c r="E44" s="32" t="s">
        <v>108</v>
      </c>
      <c r="F44" s="40" t="s">
        <v>112</v>
      </c>
      <c r="G44" s="41"/>
      <c r="H44" s="34"/>
      <c r="I44" s="34"/>
      <c r="J44" s="29">
        <f t="shared" si="0"/>
        <v>0</v>
      </c>
      <c r="K44" s="41">
        <v>0</v>
      </c>
      <c r="L44" s="34"/>
      <c r="M44" s="34"/>
      <c r="N44" s="29">
        <f t="shared" si="1"/>
        <v>0</v>
      </c>
      <c r="O44" s="29"/>
      <c r="P44" s="35">
        <f t="shared" si="6"/>
        <v>0</v>
      </c>
      <c r="Q44" s="35">
        <f t="shared" si="6"/>
        <v>0</v>
      </c>
      <c r="R44" s="29">
        <f t="shared" si="2"/>
        <v>0</v>
      </c>
      <c r="S44" s="35">
        <f t="shared" si="5"/>
        <v>0</v>
      </c>
      <c r="T44" s="35">
        <f t="shared" si="5"/>
        <v>0</v>
      </c>
      <c r="U44" s="35">
        <f t="shared" si="5"/>
        <v>0</v>
      </c>
      <c r="V44" s="29">
        <f t="shared" si="3"/>
        <v>0</v>
      </c>
      <c r="W44" s="30"/>
    </row>
    <row r="45" spans="1:23" s="18" customFormat="1" ht="15" hidden="1" x14ac:dyDescent="0.2">
      <c r="A45" s="36"/>
      <c r="B45" s="44" t="s">
        <v>113</v>
      </c>
      <c r="C45" s="32"/>
      <c r="D45" s="32" t="s">
        <v>114</v>
      </c>
      <c r="E45" s="32" t="s">
        <v>115</v>
      </c>
      <c r="F45" s="40" t="s">
        <v>116</v>
      </c>
      <c r="G45" s="41"/>
      <c r="H45" s="34"/>
      <c r="I45" s="34"/>
      <c r="J45" s="29">
        <f t="shared" si="0"/>
        <v>0</v>
      </c>
      <c r="K45" s="41">
        <v>0</v>
      </c>
      <c r="L45" s="34"/>
      <c r="M45" s="34"/>
      <c r="N45" s="29">
        <f t="shared" si="1"/>
        <v>0</v>
      </c>
      <c r="O45" s="29"/>
      <c r="P45" s="35">
        <f t="shared" si="6"/>
        <v>0</v>
      </c>
      <c r="Q45" s="35">
        <f t="shared" si="6"/>
        <v>0</v>
      </c>
      <c r="R45" s="29">
        <f t="shared" si="2"/>
        <v>0</v>
      </c>
      <c r="S45" s="35">
        <f t="shared" si="5"/>
        <v>0</v>
      </c>
      <c r="T45" s="35">
        <f t="shared" si="5"/>
        <v>0</v>
      </c>
      <c r="U45" s="35">
        <f t="shared" si="5"/>
        <v>0</v>
      </c>
      <c r="V45" s="29">
        <f t="shared" si="3"/>
        <v>0</v>
      </c>
      <c r="W45" s="30"/>
    </row>
    <row r="46" spans="1:23" s="18" customFormat="1" ht="30" hidden="1" x14ac:dyDescent="0.2">
      <c r="A46" s="36"/>
      <c r="B46" s="44" t="s">
        <v>117</v>
      </c>
      <c r="C46" s="32"/>
      <c r="D46" s="32" t="s">
        <v>118</v>
      </c>
      <c r="E46" s="32" t="s">
        <v>119</v>
      </c>
      <c r="F46" s="40" t="s">
        <v>120</v>
      </c>
      <c r="G46" s="41"/>
      <c r="H46" s="34"/>
      <c r="I46" s="34"/>
      <c r="J46" s="29">
        <f t="shared" si="0"/>
        <v>0</v>
      </c>
      <c r="K46" s="41">
        <v>0</v>
      </c>
      <c r="L46" s="34"/>
      <c r="M46" s="34"/>
      <c r="N46" s="29">
        <f t="shared" si="1"/>
        <v>0</v>
      </c>
      <c r="O46" s="29"/>
      <c r="P46" s="35">
        <f t="shared" si="6"/>
        <v>0</v>
      </c>
      <c r="Q46" s="35">
        <f t="shared" si="6"/>
        <v>0</v>
      </c>
      <c r="R46" s="29">
        <f t="shared" si="2"/>
        <v>0</v>
      </c>
      <c r="S46" s="35">
        <f t="shared" si="5"/>
        <v>0</v>
      </c>
      <c r="T46" s="35">
        <f t="shared" si="5"/>
        <v>0</v>
      </c>
      <c r="U46" s="35">
        <f t="shared" si="5"/>
        <v>0</v>
      </c>
      <c r="V46" s="29">
        <f t="shared" si="3"/>
        <v>0</v>
      </c>
      <c r="W46" s="30"/>
    </row>
    <row r="47" spans="1:23" s="18" customFormat="1" ht="30" hidden="1" x14ac:dyDescent="0.2">
      <c r="A47" s="36"/>
      <c r="B47" s="44" t="s">
        <v>121</v>
      </c>
      <c r="C47" s="32"/>
      <c r="D47" s="32" t="s">
        <v>122</v>
      </c>
      <c r="E47" s="32" t="s">
        <v>119</v>
      </c>
      <c r="F47" s="40" t="s">
        <v>123</v>
      </c>
      <c r="G47" s="41"/>
      <c r="H47" s="34"/>
      <c r="I47" s="34"/>
      <c r="J47" s="29">
        <f t="shared" si="0"/>
        <v>0</v>
      </c>
      <c r="K47" s="41">
        <v>0</v>
      </c>
      <c r="L47" s="34"/>
      <c r="M47" s="34"/>
      <c r="N47" s="29">
        <f t="shared" si="1"/>
        <v>0</v>
      </c>
      <c r="O47" s="29"/>
      <c r="P47" s="35">
        <f t="shared" si="6"/>
        <v>0</v>
      </c>
      <c r="Q47" s="35">
        <f t="shared" si="6"/>
        <v>0</v>
      </c>
      <c r="R47" s="29">
        <f t="shared" si="2"/>
        <v>0</v>
      </c>
      <c r="S47" s="35">
        <f t="shared" si="5"/>
        <v>0</v>
      </c>
      <c r="T47" s="35">
        <f t="shared" si="5"/>
        <v>0</v>
      </c>
      <c r="U47" s="35">
        <f t="shared" si="5"/>
        <v>0</v>
      </c>
      <c r="V47" s="29">
        <f t="shared" si="3"/>
        <v>0</v>
      </c>
      <c r="W47" s="30"/>
    </row>
    <row r="48" spans="1:23" s="18" customFormat="1" ht="45" hidden="1" x14ac:dyDescent="0.2">
      <c r="A48" s="36"/>
      <c r="B48" s="44" t="s">
        <v>124</v>
      </c>
      <c r="C48" s="32"/>
      <c r="D48" s="32" t="s">
        <v>125</v>
      </c>
      <c r="E48" s="32" t="s">
        <v>126</v>
      </c>
      <c r="F48" s="40" t="s">
        <v>127</v>
      </c>
      <c r="G48" s="41"/>
      <c r="H48" s="34"/>
      <c r="I48" s="34"/>
      <c r="J48" s="29">
        <f t="shared" si="0"/>
        <v>0</v>
      </c>
      <c r="K48" s="41">
        <v>0</v>
      </c>
      <c r="L48" s="34"/>
      <c r="M48" s="34"/>
      <c r="N48" s="29">
        <f t="shared" si="1"/>
        <v>0</v>
      </c>
      <c r="O48" s="29"/>
      <c r="P48" s="35">
        <f t="shared" si="6"/>
        <v>0</v>
      </c>
      <c r="Q48" s="35">
        <f t="shared" si="6"/>
        <v>0</v>
      </c>
      <c r="R48" s="29">
        <f t="shared" si="2"/>
        <v>0</v>
      </c>
      <c r="S48" s="35">
        <f t="shared" si="5"/>
        <v>0</v>
      </c>
      <c r="T48" s="35">
        <f t="shared" si="5"/>
        <v>0</v>
      </c>
      <c r="U48" s="35">
        <f t="shared" si="5"/>
        <v>0</v>
      </c>
      <c r="V48" s="29">
        <f t="shared" si="3"/>
        <v>0</v>
      </c>
      <c r="W48" s="30"/>
    </row>
    <row r="49" spans="1:23" s="18" customFormat="1" ht="30" hidden="1" x14ac:dyDescent="0.2">
      <c r="A49" s="36"/>
      <c r="B49" s="44" t="s">
        <v>128</v>
      </c>
      <c r="C49" s="32"/>
      <c r="D49" s="32" t="s">
        <v>129</v>
      </c>
      <c r="E49" s="32" t="s">
        <v>130</v>
      </c>
      <c r="F49" s="40" t="s">
        <v>131</v>
      </c>
      <c r="G49" s="41"/>
      <c r="H49" s="34"/>
      <c r="I49" s="34"/>
      <c r="J49" s="29">
        <f t="shared" si="0"/>
        <v>0</v>
      </c>
      <c r="K49" s="41">
        <v>0</v>
      </c>
      <c r="L49" s="34"/>
      <c r="M49" s="34"/>
      <c r="N49" s="29">
        <f t="shared" si="1"/>
        <v>0</v>
      </c>
      <c r="O49" s="29"/>
      <c r="P49" s="35">
        <f t="shared" si="6"/>
        <v>0</v>
      </c>
      <c r="Q49" s="35">
        <f t="shared" si="6"/>
        <v>0</v>
      </c>
      <c r="R49" s="29">
        <f t="shared" si="2"/>
        <v>0</v>
      </c>
      <c r="S49" s="35">
        <f t="shared" si="5"/>
        <v>0</v>
      </c>
      <c r="T49" s="35">
        <f t="shared" si="5"/>
        <v>0</v>
      </c>
      <c r="U49" s="35">
        <f t="shared" si="5"/>
        <v>0</v>
      </c>
      <c r="V49" s="29">
        <f t="shared" si="3"/>
        <v>0</v>
      </c>
      <c r="W49" s="30"/>
    </row>
    <row r="50" spans="1:23" s="18" customFormat="1" ht="30" hidden="1" x14ac:dyDescent="0.2">
      <c r="A50" s="36"/>
      <c r="B50" s="44" t="s">
        <v>132</v>
      </c>
      <c r="C50" s="32"/>
      <c r="D50" s="32" t="s">
        <v>133</v>
      </c>
      <c r="E50" s="32" t="s">
        <v>134</v>
      </c>
      <c r="F50" s="40" t="s">
        <v>135</v>
      </c>
      <c r="G50" s="41"/>
      <c r="H50" s="34"/>
      <c r="I50" s="34"/>
      <c r="J50" s="29">
        <f t="shared" si="0"/>
        <v>0</v>
      </c>
      <c r="K50" s="41">
        <v>0</v>
      </c>
      <c r="L50" s="34"/>
      <c r="M50" s="34"/>
      <c r="N50" s="29">
        <f t="shared" si="1"/>
        <v>0</v>
      </c>
      <c r="O50" s="29"/>
      <c r="P50" s="35">
        <f t="shared" si="6"/>
        <v>0</v>
      </c>
      <c r="Q50" s="35">
        <f t="shared" si="6"/>
        <v>0</v>
      </c>
      <c r="R50" s="29">
        <f t="shared" si="2"/>
        <v>0</v>
      </c>
      <c r="S50" s="35">
        <f t="shared" si="5"/>
        <v>0</v>
      </c>
      <c r="T50" s="35">
        <f t="shared" si="5"/>
        <v>0</v>
      </c>
      <c r="U50" s="35">
        <f t="shared" si="5"/>
        <v>0</v>
      </c>
      <c r="V50" s="29">
        <f t="shared" si="3"/>
        <v>0</v>
      </c>
      <c r="W50" s="30"/>
    </row>
    <row r="51" spans="1:23" s="18" customFormat="1" ht="15" hidden="1" x14ac:dyDescent="0.2">
      <c r="A51" s="36"/>
      <c r="B51" s="44" t="s">
        <v>136</v>
      </c>
      <c r="C51" s="32"/>
      <c r="D51" s="32" t="s">
        <v>137</v>
      </c>
      <c r="E51" s="32" t="s">
        <v>138</v>
      </c>
      <c r="F51" s="40" t="s">
        <v>139</v>
      </c>
      <c r="G51" s="41"/>
      <c r="H51" s="34"/>
      <c r="I51" s="34"/>
      <c r="J51" s="29">
        <f t="shared" si="0"/>
        <v>0</v>
      </c>
      <c r="K51" s="41">
        <v>0</v>
      </c>
      <c r="L51" s="34"/>
      <c r="M51" s="34"/>
      <c r="N51" s="29">
        <f t="shared" si="1"/>
        <v>0</v>
      </c>
      <c r="O51" s="29"/>
      <c r="P51" s="35">
        <f t="shared" si="6"/>
        <v>0</v>
      </c>
      <c r="Q51" s="35">
        <f t="shared" si="6"/>
        <v>0</v>
      </c>
      <c r="R51" s="29">
        <f t="shared" si="2"/>
        <v>0</v>
      </c>
      <c r="S51" s="35">
        <f t="shared" si="5"/>
        <v>0</v>
      </c>
      <c r="T51" s="35">
        <f t="shared" si="5"/>
        <v>0</v>
      </c>
      <c r="U51" s="35">
        <f t="shared" si="5"/>
        <v>0</v>
      </c>
      <c r="V51" s="29">
        <f t="shared" si="3"/>
        <v>0</v>
      </c>
      <c r="W51" s="30"/>
    </row>
    <row r="52" spans="1:23" s="18" customFormat="1" ht="15" hidden="1" x14ac:dyDescent="0.2">
      <c r="A52" s="36"/>
      <c r="B52" s="44" t="s">
        <v>140</v>
      </c>
      <c r="C52" s="32"/>
      <c r="D52" s="32" t="s">
        <v>141</v>
      </c>
      <c r="E52" s="32" t="s">
        <v>142</v>
      </c>
      <c r="F52" s="47" t="s">
        <v>143</v>
      </c>
      <c r="G52" s="41"/>
      <c r="H52" s="34"/>
      <c r="I52" s="34"/>
      <c r="J52" s="29">
        <f t="shared" si="0"/>
        <v>0</v>
      </c>
      <c r="K52" s="41">
        <v>0</v>
      </c>
      <c r="L52" s="34"/>
      <c r="M52" s="34"/>
      <c r="N52" s="29">
        <f t="shared" si="1"/>
        <v>0</v>
      </c>
      <c r="O52" s="29"/>
      <c r="P52" s="35">
        <f t="shared" si="6"/>
        <v>0</v>
      </c>
      <c r="Q52" s="35">
        <f t="shared" si="6"/>
        <v>0</v>
      </c>
      <c r="R52" s="29">
        <f t="shared" si="2"/>
        <v>0</v>
      </c>
      <c r="S52" s="35">
        <f t="shared" si="5"/>
        <v>0</v>
      </c>
      <c r="T52" s="35">
        <f t="shared" si="5"/>
        <v>0</v>
      </c>
      <c r="U52" s="35">
        <f t="shared" si="5"/>
        <v>0</v>
      </c>
      <c r="V52" s="29">
        <f t="shared" si="3"/>
        <v>0</v>
      </c>
      <c r="W52" s="30"/>
    </row>
    <row r="53" spans="1:23" s="18" customFormat="1" ht="15" hidden="1" x14ac:dyDescent="0.2">
      <c r="A53" s="36"/>
      <c r="B53" s="44"/>
      <c r="C53" s="32"/>
      <c r="D53" s="32"/>
      <c r="E53" s="44"/>
      <c r="F53" s="48"/>
      <c r="G53" s="41"/>
      <c r="H53" s="41"/>
      <c r="I53" s="41"/>
      <c r="J53" s="29">
        <f t="shared" si="0"/>
        <v>0</v>
      </c>
      <c r="K53" s="41">
        <v>0</v>
      </c>
      <c r="L53" s="41"/>
      <c r="M53" s="41"/>
      <c r="N53" s="29">
        <f t="shared" si="1"/>
        <v>0</v>
      </c>
      <c r="O53" s="29"/>
      <c r="P53" s="35">
        <f t="shared" si="6"/>
        <v>0</v>
      </c>
      <c r="Q53" s="35">
        <f t="shared" si="6"/>
        <v>0</v>
      </c>
      <c r="R53" s="29">
        <f t="shared" si="2"/>
        <v>0</v>
      </c>
      <c r="S53" s="35">
        <f t="shared" si="5"/>
        <v>0</v>
      </c>
      <c r="T53" s="35">
        <f t="shared" si="5"/>
        <v>0</v>
      </c>
      <c r="U53" s="35">
        <f t="shared" si="5"/>
        <v>0</v>
      </c>
      <c r="V53" s="29">
        <f t="shared" si="3"/>
        <v>0</v>
      </c>
      <c r="W53" s="30"/>
    </row>
    <row r="54" spans="1:23" s="18" customFormat="1" ht="30" hidden="1" x14ac:dyDescent="0.2">
      <c r="A54" s="36"/>
      <c r="B54" s="44" t="s">
        <v>144</v>
      </c>
      <c r="C54" s="32"/>
      <c r="D54" s="32" t="s">
        <v>145</v>
      </c>
      <c r="E54" s="32" t="s">
        <v>146</v>
      </c>
      <c r="F54" s="40" t="s">
        <v>147</v>
      </c>
      <c r="G54" s="41"/>
      <c r="H54" s="34"/>
      <c r="I54" s="34"/>
      <c r="J54" s="29">
        <f t="shared" si="0"/>
        <v>0</v>
      </c>
      <c r="K54" s="41">
        <v>0</v>
      </c>
      <c r="L54" s="34"/>
      <c r="M54" s="34"/>
      <c r="N54" s="29">
        <f t="shared" si="1"/>
        <v>0</v>
      </c>
      <c r="O54" s="29"/>
      <c r="P54" s="35">
        <f t="shared" si="6"/>
        <v>0</v>
      </c>
      <c r="Q54" s="35">
        <f t="shared" si="6"/>
        <v>0</v>
      </c>
      <c r="R54" s="29">
        <f t="shared" si="2"/>
        <v>0</v>
      </c>
      <c r="S54" s="35">
        <f t="shared" si="5"/>
        <v>0</v>
      </c>
      <c r="T54" s="35">
        <f t="shared" si="5"/>
        <v>0</v>
      </c>
      <c r="U54" s="35">
        <f t="shared" si="5"/>
        <v>0</v>
      </c>
      <c r="V54" s="29">
        <f t="shared" si="3"/>
        <v>0</v>
      </c>
      <c r="W54" s="30"/>
    </row>
    <row r="55" spans="1:23" s="18" customFormat="1" ht="15" hidden="1" customHeight="1" x14ac:dyDescent="0.2">
      <c r="A55" s="36"/>
      <c r="B55" s="44" t="s">
        <v>148</v>
      </c>
      <c r="C55" s="32"/>
      <c r="D55" s="32" t="s">
        <v>149</v>
      </c>
      <c r="E55" s="32" t="s">
        <v>149</v>
      </c>
      <c r="F55" s="40" t="s">
        <v>150</v>
      </c>
      <c r="G55" s="41"/>
      <c r="H55" s="34"/>
      <c r="I55" s="34"/>
      <c r="J55" s="29">
        <f t="shared" si="0"/>
        <v>0</v>
      </c>
      <c r="K55" s="41">
        <v>0</v>
      </c>
      <c r="L55" s="34"/>
      <c r="M55" s="34"/>
      <c r="N55" s="29">
        <f t="shared" si="1"/>
        <v>0</v>
      </c>
      <c r="O55" s="29"/>
      <c r="P55" s="35">
        <f t="shared" si="6"/>
        <v>0</v>
      </c>
      <c r="Q55" s="35">
        <f t="shared" si="6"/>
        <v>0</v>
      </c>
      <c r="R55" s="29">
        <f t="shared" si="2"/>
        <v>0</v>
      </c>
      <c r="S55" s="35">
        <f t="shared" si="5"/>
        <v>0</v>
      </c>
      <c r="T55" s="35">
        <f t="shared" si="5"/>
        <v>0</v>
      </c>
      <c r="U55" s="35">
        <f t="shared" si="5"/>
        <v>0</v>
      </c>
      <c r="V55" s="29">
        <f t="shared" si="3"/>
        <v>0</v>
      </c>
      <c r="W55" s="30"/>
    </row>
    <row r="56" spans="1:23" s="18" customFormat="1" ht="15" hidden="1" x14ac:dyDescent="0.2">
      <c r="A56" s="36"/>
      <c r="B56" s="44" t="s">
        <v>151</v>
      </c>
      <c r="C56" s="32"/>
      <c r="D56" s="32" t="s">
        <v>51</v>
      </c>
      <c r="E56" s="32" t="s">
        <v>51</v>
      </c>
      <c r="F56" s="40" t="s">
        <v>152</v>
      </c>
      <c r="G56" s="38"/>
      <c r="H56" s="38"/>
      <c r="I56" s="38"/>
      <c r="J56" s="29">
        <f t="shared" si="0"/>
        <v>0</v>
      </c>
      <c r="K56" s="41">
        <v>0</v>
      </c>
      <c r="L56" s="38"/>
      <c r="M56" s="38"/>
      <c r="N56" s="29">
        <f t="shared" si="1"/>
        <v>0</v>
      </c>
      <c r="O56" s="49"/>
      <c r="P56" s="35">
        <f t="shared" si="6"/>
        <v>0</v>
      </c>
      <c r="Q56" s="35">
        <f t="shared" si="6"/>
        <v>0</v>
      </c>
      <c r="R56" s="29">
        <f t="shared" si="2"/>
        <v>0</v>
      </c>
      <c r="S56" s="35">
        <f t="shared" si="5"/>
        <v>0</v>
      </c>
      <c r="T56" s="35">
        <f t="shared" si="5"/>
        <v>0</v>
      </c>
      <c r="U56" s="35">
        <f t="shared" si="5"/>
        <v>0</v>
      </c>
      <c r="V56" s="29">
        <f t="shared" si="3"/>
        <v>0</v>
      </c>
      <c r="W56" s="30"/>
    </row>
    <row r="57" spans="1:23" s="18" customFormat="1" ht="60" hidden="1" x14ac:dyDescent="0.2">
      <c r="A57" s="36"/>
      <c r="B57" s="44" t="s">
        <v>153</v>
      </c>
      <c r="C57" s="32"/>
      <c r="D57" s="32" t="s">
        <v>154</v>
      </c>
      <c r="E57" s="32" t="s">
        <v>154</v>
      </c>
      <c r="F57" s="40" t="s">
        <v>155</v>
      </c>
      <c r="G57" s="41"/>
      <c r="H57" s="50"/>
      <c r="I57" s="50"/>
      <c r="J57" s="29">
        <f t="shared" si="0"/>
        <v>0</v>
      </c>
      <c r="K57" s="41">
        <v>0</v>
      </c>
      <c r="L57" s="50"/>
      <c r="M57" s="50"/>
      <c r="N57" s="29">
        <f t="shared" si="1"/>
        <v>0</v>
      </c>
      <c r="O57" s="29"/>
      <c r="P57" s="35">
        <f t="shared" si="6"/>
        <v>0</v>
      </c>
      <c r="Q57" s="35">
        <f t="shared" si="6"/>
        <v>0</v>
      </c>
      <c r="R57" s="29">
        <f t="shared" si="2"/>
        <v>0</v>
      </c>
      <c r="S57" s="35">
        <f t="shared" si="5"/>
        <v>0</v>
      </c>
      <c r="T57" s="35">
        <f t="shared" si="5"/>
        <v>0</v>
      </c>
      <c r="U57" s="35">
        <f t="shared" si="5"/>
        <v>0</v>
      </c>
      <c r="V57" s="29">
        <f t="shared" si="3"/>
        <v>0</v>
      </c>
      <c r="W57" s="30"/>
    </row>
    <row r="58" spans="1:23" s="18" customFormat="1" ht="30" hidden="1" x14ac:dyDescent="0.2">
      <c r="A58" s="36"/>
      <c r="B58" s="44"/>
      <c r="C58" s="32"/>
      <c r="D58" s="32"/>
      <c r="E58" s="32"/>
      <c r="F58" s="40" t="s">
        <v>156</v>
      </c>
      <c r="G58" s="41"/>
      <c r="H58" s="50"/>
      <c r="I58" s="50"/>
      <c r="J58" s="29">
        <f t="shared" si="0"/>
        <v>0</v>
      </c>
      <c r="K58" s="41">
        <v>0</v>
      </c>
      <c r="L58" s="50"/>
      <c r="M58" s="50"/>
      <c r="N58" s="29">
        <f t="shared" si="1"/>
        <v>0</v>
      </c>
      <c r="O58" s="29"/>
      <c r="P58" s="35">
        <f t="shared" si="6"/>
        <v>0</v>
      </c>
      <c r="Q58" s="35">
        <f t="shared" si="6"/>
        <v>0</v>
      </c>
      <c r="R58" s="29">
        <f t="shared" si="2"/>
        <v>0</v>
      </c>
      <c r="S58" s="35">
        <f t="shared" si="5"/>
        <v>0</v>
      </c>
      <c r="T58" s="35">
        <f t="shared" si="5"/>
        <v>0</v>
      </c>
      <c r="U58" s="35">
        <f t="shared" si="5"/>
        <v>0</v>
      </c>
      <c r="V58" s="29">
        <f t="shared" si="3"/>
        <v>0</v>
      </c>
      <c r="W58" s="30"/>
    </row>
    <row r="59" spans="1:23" s="18" customFormat="1" ht="15" hidden="1" customHeight="1" x14ac:dyDescent="0.2">
      <c r="A59" s="36"/>
      <c r="B59" s="51" t="s">
        <v>43</v>
      </c>
      <c r="C59" s="32"/>
      <c r="D59" s="32"/>
      <c r="E59" s="32"/>
      <c r="F59" s="454" t="s">
        <v>157</v>
      </c>
      <c r="G59" s="41"/>
      <c r="H59" s="34"/>
      <c r="I59" s="34"/>
      <c r="J59" s="29">
        <f t="shared" si="0"/>
        <v>0</v>
      </c>
      <c r="K59" s="41">
        <v>0</v>
      </c>
      <c r="L59" s="34"/>
      <c r="M59" s="34"/>
      <c r="N59" s="29">
        <f t="shared" si="1"/>
        <v>0</v>
      </c>
      <c r="O59" s="29"/>
      <c r="P59" s="35">
        <f t="shared" si="6"/>
        <v>0</v>
      </c>
      <c r="Q59" s="35">
        <f t="shared" si="6"/>
        <v>0</v>
      </c>
      <c r="R59" s="29">
        <f t="shared" si="2"/>
        <v>0</v>
      </c>
      <c r="S59" s="35">
        <f t="shared" si="5"/>
        <v>0</v>
      </c>
      <c r="T59" s="35">
        <f t="shared" si="5"/>
        <v>0</v>
      </c>
      <c r="U59" s="35">
        <f t="shared" si="5"/>
        <v>0</v>
      </c>
      <c r="V59" s="29">
        <f t="shared" si="3"/>
        <v>0</v>
      </c>
      <c r="W59" s="30"/>
    </row>
    <row r="60" spans="1:23" s="18" customFormat="1" ht="15" hidden="1" customHeight="1" x14ac:dyDescent="0.2">
      <c r="A60" s="36"/>
      <c r="B60" s="51" t="s">
        <v>158</v>
      </c>
      <c r="C60" s="32"/>
      <c r="D60" s="32"/>
      <c r="E60" s="32"/>
      <c r="F60" s="455"/>
      <c r="G60" s="41"/>
      <c r="H60" s="34"/>
      <c r="I60" s="34"/>
      <c r="J60" s="29">
        <f t="shared" si="0"/>
        <v>0</v>
      </c>
      <c r="K60" s="41">
        <v>0</v>
      </c>
      <c r="L60" s="34"/>
      <c r="M60" s="34"/>
      <c r="N60" s="29">
        <f t="shared" si="1"/>
        <v>0</v>
      </c>
      <c r="O60" s="29"/>
      <c r="P60" s="35">
        <f t="shared" si="6"/>
        <v>0</v>
      </c>
      <c r="Q60" s="35">
        <f t="shared" si="6"/>
        <v>0</v>
      </c>
      <c r="R60" s="29">
        <f t="shared" si="2"/>
        <v>0</v>
      </c>
      <c r="S60" s="35">
        <f t="shared" si="5"/>
        <v>0</v>
      </c>
      <c r="T60" s="35">
        <f t="shared" si="5"/>
        <v>0</v>
      </c>
      <c r="U60" s="35">
        <f t="shared" si="5"/>
        <v>0</v>
      </c>
      <c r="V60" s="29">
        <f t="shared" si="3"/>
        <v>0</v>
      </c>
      <c r="W60" s="30"/>
    </row>
    <row r="61" spans="1:23" s="18" customFormat="1" ht="15" hidden="1" customHeight="1" x14ac:dyDescent="0.2">
      <c r="A61" s="36"/>
      <c r="B61" s="51"/>
      <c r="C61" s="32"/>
      <c r="D61" s="32"/>
      <c r="E61" s="32"/>
      <c r="F61" s="455"/>
      <c r="G61" s="41"/>
      <c r="H61" s="34"/>
      <c r="I61" s="34"/>
      <c r="J61" s="29">
        <f t="shared" si="0"/>
        <v>0</v>
      </c>
      <c r="K61" s="41">
        <v>0</v>
      </c>
      <c r="L61" s="34"/>
      <c r="M61" s="34"/>
      <c r="N61" s="29">
        <f t="shared" si="1"/>
        <v>0</v>
      </c>
      <c r="O61" s="29"/>
      <c r="P61" s="35">
        <f t="shared" si="6"/>
        <v>0</v>
      </c>
      <c r="Q61" s="35">
        <f t="shared" si="6"/>
        <v>0</v>
      </c>
      <c r="R61" s="29">
        <f t="shared" si="2"/>
        <v>0</v>
      </c>
      <c r="S61" s="35">
        <f t="shared" si="5"/>
        <v>0</v>
      </c>
      <c r="T61" s="35">
        <f t="shared" si="5"/>
        <v>0</v>
      </c>
      <c r="U61" s="35">
        <f t="shared" si="5"/>
        <v>0</v>
      </c>
      <c r="V61" s="29">
        <f t="shared" si="3"/>
        <v>0</v>
      </c>
      <c r="W61" s="30"/>
    </row>
    <row r="62" spans="1:23" s="18" customFormat="1" ht="15" hidden="1" customHeight="1" x14ac:dyDescent="0.2">
      <c r="A62" s="36"/>
      <c r="B62" s="51"/>
      <c r="C62" s="32"/>
      <c r="D62" s="32"/>
      <c r="E62" s="32"/>
      <c r="F62" s="455"/>
      <c r="G62" s="41"/>
      <c r="H62" s="34"/>
      <c r="I62" s="34"/>
      <c r="J62" s="29">
        <f t="shared" si="0"/>
        <v>0</v>
      </c>
      <c r="K62" s="41">
        <v>0</v>
      </c>
      <c r="L62" s="34"/>
      <c r="M62" s="34"/>
      <c r="N62" s="29">
        <f t="shared" si="1"/>
        <v>0</v>
      </c>
      <c r="O62" s="29"/>
      <c r="P62" s="35">
        <f t="shared" si="6"/>
        <v>0</v>
      </c>
      <c r="Q62" s="35">
        <f t="shared" si="6"/>
        <v>0</v>
      </c>
      <c r="R62" s="29">
        <f t="shared" si="2"/>
        <v>0</v>
      </c>
      <c r="S62" s="35">
        <f t="shared" si="5"/>
        <v>0</v>
      </c>
      <c r="T62" s="35">
        <f t="shared" si="5"/>
        <v>0</v>
      </c>
      <c r="U62" s="35">
        <f t="shared" si="5"/>
        <v>0</v>
      </c>
      <c r="V62" s="29">
        <f t="shared" si="3"/>
        <v>0</v>
      </c>
      <c r="W62" s="30"/>
    </row>
    <row r="63" spans="1:23" s="18" customFormat="1" ht="15" hidden="1" customHeight="1" x14ac:dyDescent="0.2">
      <c r="A63" s="36"/>
      <c r="B63" s="51"/>
      <c r="C63" s="32"/>
      <c r="D63" s="32"/>
      <c r="E63" s="32"/>
      <c r="F63" s="456"/>
      <c r="G63" s="41"/>
      <c r="H63" s="34"/>
      <c r="I63" s="34"/>
      <c r="J63" s="29">
        <f t="shared" si="0"/>
        <v>0</v>
      </c>
      <c r="K63" s="41">
        <v>0</v>
      </c>
      <c r="L63" s="34"/>
      <c r="M63" s="34"/>
      <c r="N63" s="29">
        <f t="shared" si="1"/>
        <v>0</v>
      </c>
      <c r="O63" s="29"/>
      <c r="P63" s="35">
        <f t="shared" si="6"/>
        <v>0</v>
      </c>
      <c r="Q63" s="35">
        <f t="shared" si="6"/>
        <v>0</v>
      </c>
      <c r="R63" s="29">
        <f t="shared" si="2"/>
        <v>0</v>
      </c>
      <c r="S63" s="35">
        <f t="shared" si="5"/>
        <v>0</v>
      </c>
      <c r="T63" s="35">
        <f t="shared" si="5"/>
        <v>0</v>
      </c>
      <c r="U63" s="35">
        <f t="shared" si="5"/>
        <v>0</v>
      </c>
      <c r="V63" s="29">
        <f t="shared" si="3"/>
        <v>0</v>
      </c>
      <c r="W63" s="30"/>
    </row>
    <row r="64" spans="1:23" s="18" customFormat="1" ht="15" hidden="1" x14ac:dyDescent="0.2">
      <c r="A64" s="36"/>
      <c r="B64" s="32" t="s">
        <v>159</v>
      </c>
      <c r="C64" s="32"/>
      <c r="D64" s="32" t="s">
        <v>154</v>
      </c>
      <c r="E64" s="32" t="s">
        <v>154</v>
      </c>
      <c r="F64" s="40" t="s">
        <v>0</v>
      </c>
      <c r="G64" s="41"/>
      <c r="H64" s="34"/>
      <c r="I64" s="34"/>
      <c r="J64" s="29">
        <f t="shared" si="0"/>
        <v>0</v>
      </c>
      <c r="K64" s="41">
        <v>0</v>
      </c>
      <c r="L64" s="34"/>
      <c r="M64" s="34"/>
      <c r="N64" s="29">
        <f t="shared" si="1"/>
        <v>0</v>
      </c>
      <c r="O64" s="29"/>
      <c r="P64" s="35">
        <f t="shared" si="6"/>
        <v>0</v>
      </c>
      <c r="Q64" s="35">
        <f t="shared" si="6"/>
        <v>0</v>
      </c>
      <c r="R64" s="29">
        <f t="shared" si="2"/>
        <v>0</v>
      </c>
      <c r="S64" s="35">
        <f t="shared" si="5"/>
        <v>0</v>
      </c>
      <c r="T64" s="35">
        <f t="shared" si="5"/>
        <v>0</v>
      </c>
      <c r="U64" s="35">
        <f t="shared" si="5"/>
        <v>0</v>
      </c>
      <c r="V64" s="29">
        <f t="shared" si="3"/>
        <v>0</v>
      </c>
      <c r="W64" s="30"/>
    </row>
    <row r="65" spans="1:23" s="18" customFormat="1" ht="15" hidden="1" x14ac:dyDescent="0.2">
      <c r="A65" s="36"/>
      <c r="B65" s="31" t="s">
        <v>160</v>
      </c>
      <c r="C65" s="32"/>
      <c r="D65" s="32"/>
      <c r="E65" s="32"/>
      <c r="F65" s="52" t="s">
        <v>161</v>
      </c>
      <c r="G65" s="41"/>
      <c r="H65" s="41"/>
      <c r="I65" s="41"/>
      <c r="J65" s="29">
        <f t="shared" si="0"/>
        <v>0</v>
      </c>
      <c r="K65" s="41">
        <v>0</v>
      </c>
      <c r="L65" s="41"/>
      <c r="M65" s="41"/>
      <c r="N65" s="29">
        <f t="shared" si="1"/>
        <v>0</v>
      </c>
      <c r="O65" s="29"/>
      <c r="P65" s="35">
        <f t="shared" si="6"/>
        <v>0</v>
      </c>
      <c r="Q65" s="35">
        <f t="shared" si="6"/>
        <v>0</v>
      </c>
      <c r="R65" s="29">
        <f t="shared" si="2"/>
        <v>0</v>
      </c>
      <c r="S65" s="35">
        <f t="shared" si="5"/>
        <v>0</v>
      </c>
      <c r="T65" s="35">
        <f t="shared" si="5"/>
        <v>0</v>
      </c>
      <c r="U65" s="35">
        <f t="shared" si="5"/>
        <v>0</v>
      </c>
      <c r="V65" s="29">
        <f t="shared" si="3"/>
        <v>0</v>
      </c>
      <c r="W65" s="30"/>
    </row>
    <row r="66" spans="1:23" s="18" customFormat="1" ht="15" hidden="1" x14ac:dyDescent="0.2">
      <c r="A66" s="36"/>
      <c r="B66" s="31" t="s">
        <v>162</v>
      </c>
      <c r="C66" s="32"/>
      <c r="D66" s="32"/>
      <c r="E66" s="32"/>
      <c r="F66" s="52" t="s">
        <v>161</v>
      </c>
      <c r="G66" s="41"/>
      <c r="H66" s="41"/>
      <c r="I66" s="41"/>
      <c r="J66" s="29">
        <f t="shared" si="0"/>
        <v>0</v>
      </c>
      <c r="K66" s="41">
        <v>0</v>
      </c>
      <c r="L66" s="41"/>
      <c r="M66" s="41"/>
      <c r="N66" s="29">
        <f t="shared" si="1"/>
        <v>0</v>
      </c>
      <c r="O66" s="29"/>
      <c r="P66" s="35">
        <f t="shared" si="6"/>
        <v>0</v>
      </c>
      <c r="Q66" s="35">
        <f t="shared" si="6"/>
        <v>0</v>
      </c>
      <c r="R66" s="29">
        <f t="shared" si="2"/>
        <v>0</v>
      </c>
      <c r="S66" s="35">
        <f t="shared" si="5"/>
        <v>0</v>
      </c>
      <c r="T66" s="35">
        <f t="shared" si="5"/>
        <v>0</v>
      </c>
      <c r="U66" s="35">
        <f t="shared" si="5"/>
        <v>0</v>
      </c>
      <c r="V66" s="29">
        <f t="shared" si="3"/>
        <v>0</v>
      </c>
      <c r="W66" s="30"/>
    </row>
    <row r="67" spans="1:23" s="18" customFormat="1" ht="30" hidden="1" x14ac:dyDescent="0.2">
      <c r="A67" s="36"/>
      <c r="B67" s="31"/>
      <c r="C67" s="32"/>
      <c r="D67" s="32"/>
      <c r="E67" s="32"/>
      <c r="F67" s="40" t="s">
        <v>156</v>
      </c>
      <c r="G67" s="41"/>
      <c r="H67" s="53"/>
      <c r="I67" s="53"/>
      <c r="J67" s="29">
        <f t="shared" si="0"/>
        <v>0</v>
      </c>
      <c r="K67" s="41">
        <v>0</v>
      </c>
      <c r="L67" s="53"/>
      <c r="M67" s="53"/>
      <c r="N67" s="29">
        <f t="shared" si="1"/>
        <v>0</v>
      </c>
      <c r="O67" s="29"/>
      <c r="P67" s="35">
        <f t="shared" si="6"/>
        <v>0</v>
      </c>
      <c r="Q67" s="35">
        <f t="shared" si="6"/>
        <v>0</v>
      </c>
      <c r="R67" s="29">
        <f t="shared" si="2"/>
        <v>0</v>
      </c>
      <c r="S67" s="35">
        <f t="shared" si="5"/>
        <v>0</v>
      </c>
      <c r="T67" s="35">
        <f t="shared" si="5"/>
        <v>0</v>
      </c>
      <c r="U67" s="35">
        <f t="shared" si="5"/>
        <v>0</v>
      </c>
      <c r="V67" s="29">
        <f t="shared" si="3"/>
        <v>0</v>
      </c>
      <c r="W67" s="30"/>
    </row>
    <row r="68" spans="1:23" s="18" customFormat="1" ht="60" hidden="1" x14ac:dyDescent="0.2">
      <c r="A68" s="36"/>
      <c r="B68" s="31"/>
      <c r="C68" s="32"/>
      <c r="D68" s="32"/>
      <c r="E68" s="32"/>
      <c r="F68" s="40" t="s">
        <v>163</v>
      </c>
      <c r="G68" s="41"/>
      <c r="H68" s="41"/>
      <c r="I68" s="41"/>
      <c r="J68" s="29">
        <f t="shared" si="0"/>
        <v>0</v>
      </c>
      <c r="K68" s="41">
        <v>0</v>
      </c>
      <c r="L68" s="41"/>
      <c r="M68" s="41"/>
      <c r="N68" s="29">
        <f t="shared" si="1"/>
        <v>0</v>
      </c>
      <c r="O68" s="29"/>
      <c r="P68" s="35">
        <f t="shared" si="6"/>
        <v>0</v>
      </c>
      <c r="Q68" s="35">
        <f t="shared" si="6"/>
        <v>0</v>
      </c>
      <c r="R68" s="29">
        <f t="shared" si="2"/>
        <v>0</v>
      </c>
      <c r="S68" s="35">
        <f t="shared" si="5"/>
        <v>0</v>
      </c>
      <c r="T68" s="35">
        <f t="shared" si="5"/>
        <v>0</v>
      </c>
      <c r="U68" s="35">
        <f t="shared" si="5"/>
        <v>0</v>
      </c>
      <c r="V68" s="29">
        <f t="shared" si="3"/>
        <v>0</v>
      </c>
      <c r="W68" s="30"/>
    </row>
    <row r="69" spans="1:23" s="18" customFormat="1" ht="75" hidden="1" x14ac:dyDescent="0.2">
      <c r="A69" s="36"/>
      <c r="B69" s="31"/>
      <c r="C69" s="32"/>
      <c r="D69" s="32"/>
      <c r="E69" s="32"/>
      <c r="F69" s="40" t="s">
        <v>164</v>
      </c>
      <c r="G69" s="41"/>
      <c r="H69" s="41"/>
      <c r="I69" s="41"/>
      <c r="J69" s="29">
        <f t="shared" si="0"/>
        <v>0</v>
      </c>
      <c r="K69" s="41">
        <v>0</v>
      </c>
      <c r="L69" s="41"/>
      <c r="M69" s="41"/>
      <c r="N69" s="29">
        <f t="shared" si="1"/>
        <v>0</v>
      </c>
      <c r="O69" s="29"/>
      <c r="P69" s="35">
        <f t="shared" si="6"/>
        <v>0</v>
      </c>
      <c r="Q69" s="35">
        <f t="shared" si="6"/>
        <v>0</v>
      </c>
      <c r="R69" s="29">
        <f t="shared" si="2"/>
        <v>0</v>
      </c>
      <c r="S69" s="35">
        <f t="shared" si="5"/>
        <v>0</v>
      </c>
      <c r="T69" s="35">
        <f t="shared" si="5"/>
        <v>0</v>
      </c>
      <c r="U69" s="35">
        <f t="shared" si="5"/>
        <v>0</v>
      </c>
      <c r="V69" s="29">
        <f t="shared" si="3"/>
        <v>0</v>
      </c>
      <c r="W69" s="30"/>
    </row>
    <row r="70" spans="1:23" s="18" customFormat="1" ht="15" hidden="1" x14ac:dyDescent="0.2">
      <c r="A70" s="36"/>
      <c r="B70" s="32" t="s">
        <v>165</v>
      </c>
      <c r="C70" s="32"/>
      <c r="D70" s="44" t="s">
        <v>166</v>
      </c>
      <c r="E70" s="44" t="s">
        <v>167</v>
      </c>
      <c r="F70" s="40" t="s">
        <v>168</v>
      </c>
      <c r="G70" s="41"/>
      <c r="H70" s="34"/>
      <c r="I70" s="34"/>
      <c r="J70" s="29">
        <f t="shared" si="0"/>
        <v>0</v>
      </c>
      <c r="K70" s="41">
        <v>0</v>
      </c>
      <c r="L70" s="34"/>
      <c r="M70" s="34"/>
      <c r="N70" s="29">
        <f t="shared" si="1"/>
        <v>0</v>
      </c>
      <c r="O70" s="29"/>
      <c r="P70" s="35">
        <f t="shared" si="6"/>
        <v>0</v>
      </c>
      <c r="Q70" s="35">
        <f t="shared" si="6"/>
        <v>0</v>
      </c>
      <c r="R70" s="29">
        <f t="shared" si="2"/>
        <v>0</v>
      </c>
      <c r="S70" s="35">
        <f t="shared" si="5"/>
        <v>0</v>
      </c>
      <c r="T70" s="35">
        <f t="shared" si="5"/>
        <v>0</v>
      </c>
      <c r="U70" s="35">
        <f t="shared" si="5"/>
        <v>0</v>
      </c>
      <c r="V70" s="29">
        <f t="shared" si="3"/>
        <v>0</v>
      </c>
      <c r="W70" s="30"/>
    </row>
    <row r="71" spans="1:23" s="18" customFormat="1" ht="75" hidden="1" x14ac:dyDescent="0.2">
      <c r="A71" s="36"/>
      <c r="B71" s="44" t="s">
        <v>169</v>
      </c>
      <c r="C71" s="44"/>
      <c r="D71" s="44" t="s">
        <v>58</v>
      </c>
      <c r="E71" s="44" t="s">
        <v>170</v>
      </c>
      <c r="F71" s="40" t="s">
        <v>171</v>
      </c>
      <c r="G71" s="41"/>
      <c r="H71" s="34"/>
      <c r="I71" s="34"/>
      <c r="J71" s="29">
        <f t="shared" si="0"/>
        <v>0</v>
      </c>
      <c r="K71" s="41">
        <v>0</v>
      </c>
      <c r="L71" s="34"/>
      <c r="M71" s="34"/>
      <c r="N71" s="29">
        <f t="shared" si="1"/>
        <v>0</v>
      </c>
      <c r="O71" s="29"/>
      <c r="P71" s="35">
        <f t="shared" si="6"/>
        <v>0</v>
      </c>
      <c r="Q71" s="35">
        <f t="shared" si="6"/>
        <v>0</v>
      </c>
      <c r="R71" s="29">
        <f t="shared" si="2"/>
        <v>0</v>
      </c>
      <c r="S71" s="35">
        <f t="shared" si="5"/>
        <v>0</v>
      </c>
      <c r="T71" s="35">
        <f t="shared" si="5"/>
        <v>0</v>
      </c>
      <c r="U71" s="35">
        <f t="shared" si="5"/>
        <v>0</v>
      </c>
      <c r="V71" s="29">
        <f t="shared" si="3"/>
        <v>0</v>
      </c>
      <c r="W71" s="30"/>
    </row>
    <row r="72" spans="1:23" s="18" customFormat="1" ht="30" hidden="1" x14ac:dyDescent="0.2">
      <c r="A72" s="36"/>
      <c r="B72" s="44"/>
      <c r="C72" s="44"/>
      <c r="D72" s="44"/>
      <c r="E72" s="44"/>
      <c r="F72" s="40" t="s">
        <v>156</v>
      </c>
      <c r="G72" s="41"/>
      <c r="H72" s="54"/>
      <c r="I72" s="54"/>
      <c r="J72" s="29">
        <f t="shared" si="0"/>
        <v>0</v>
      </c>
      <c r="K72" s="41">
        <v>0</v>
      </c>
      <c r="L72" s="54"/>
      <c r="M72" s="54"/>
      <c r="N72" s="29">
        <f t="shared" si="1"/>
        <v>0</v>
      </c>
      <c r="O72" s="29"/>
      <c r="P72" s="35">
        <f t="shared" si="6"/>
        <v>0</v>
      </c>
      <c r="Q72" s="35">
        <f t="shared" si="6"/>
        <v>0</v>
      </c>
      <c r="R72" s="29">
        <f t="shared" si="2"/>
        <v>0</v>
      </c>
      <c r="S72" s="35">
        <f t="shared" si="5"/>
        <v>0</v>
      </c>
      <c r="T72" s="35">
        <f t="shared" si="5"/>
        <v>0</v>
      </c>
      <c r="U72" s="35">
        <f t="shared" si="5"/>
        <v>0</v>
      </c>
      <c r="V72" s="29">
        <f t="shared" si="3"/>
        <v>0</v>
      </c>
      <c r="W72" s="30"/>
    </row>
    <row r="73" spans="1:23" s="18" customFormat="1" ht="75" hidden="1" x14ac:dyDescent="0.2">
      <c r="A73" s="36"/>
      <c r="B73" s="44"/>
      <c r="C73" s="44"/>
      <c r="D73" s="44"/>
      <c r="E73" s="44"/>
      <c r="F73" s="40" t="s">
        <v>164</v>
      </c>
      <c r="G73" s="41"/>
      <c r="H73" s="54"/>
      <c r="I73" s="54"/>
      <c r="J73" s="29">
        <f t="shared" si="0"/>
        <v>0</v>
      </c>
      <c r="K73" s="41">
        <v>0</v>
      </c>
      <c r="L73" s="54"/>
      <c r="M73" s="54"/>
      <c r="N73" s="29">
        <f t="shared" si="1"/>
        <v>0</v>
      </c>
      <c r="O73" s="29"/>
      <c r="P73" s="35">
        <f t="shared" si="6"/>
        <v>0</v>
      </c>
      <c r="Q73" s="35">
        <f t="shared" si="6"/>
        <v>0</v>
      </c>
      <c r="R73" s="29">
        <f t="shared" si="2"/>
        <v>0</v>
      </c>
      <c r="S73" s="35">
        <f t="shared" si="5"/>
        <v>0</v>
      </c>
      <c r="T73" s="35">
        <f t="shared" si="5"/>
        <v>0</v>
      </c>
      <c r="U73" s="35">
        <f t="shared" si="5"/>
        <v>0</v>
      </c>
      <c r="V73" s="29">
        <f t="shared" si="3"/>
        <v>0</v>
      </c>
      <c r="W73" s="30"/>
    </row>
    <row r="74" spans="1:23" s="18" customFormat="1" ht="45" hidden="1" x14ac:dyDescent="0.2">
      <c r="A74" s="36"/>
      <c r="B74" s="44" t="s">
        <v>172</v>
      </c>
      <c r="C74" s="44"/>
      <c r="D74" s="44" t="s">
        <v>83</v>
      </c>
      <c r="E74" s="44" t="s">
        <v>173</v>
      </c>
      <c r="F74" s="40" t="s">
        <v>174</v>
      </c>
      <c r="G74" s="41"/>
      <c r="H74" s="34"/>
      <c r="I74" s="34"/>
      <c r="J74" s="29">
        <f t="shared" si="0"/>
        <v>0</v>
      </c>
      <c r="K74" s="41">
        <v>0</v>
      </c>
      <c r="L74" s="34"/>
      <c r="M74" s="34"/>
      <c r="N74" s="29">
        <f t="shared" si="1"/>
        <v>0</v>
      </c>
      <c r="O74" s="29"/>
      <c r="P74" s="35">
        <f t="shared" si="6"/>
        <v>0</v>
      </c>
      <c r="Q74" s="35">
        <f t="shared" si="6"/>
        <v>0</v>
      </c>
      <c r="R74" s="29">
        <f t="shared" si="2"/>
        <v>0</v>
      </c>
      <c r="S74" s="35">
        <f t="shared" si="5"/>
        <v>0</v>
      </c>
      <c r="T74" s="35">
        <f t="shared" si="5"/>
        <v>0</v>
      </c>
      <c r="U74" s="35">
        <f t="shared" si="5"/>
        <v>0</v>
      </c>
      <c r="V74" s="29">
        <f t="shared" si="3"/>
        <v>0</v>
      </c>
      <c r="W74" s="30"/>
    </row>
    <row r="75" spans="1:23" s="18" customFormat="1" ht="30" hidden="1" x14ac:dyDescent="0.2">
      <c r="A75" s="36"/>
      <c r="B75" s="44" t="s">
        <v>175</v>
      </c>
      <c r="C75" s="44"/>
      <c r="D75" s="44" t="s">
        <v>176</v>
      </c>
      <c r="E75" s="44" t="s">
        <v>54</v>
      </c>
      <c r="F75" s="40" t="s">
        <v>177</v>
      </c>
      <c r="G75" s="41"/>
      <c r="H75" s="34"/>
      <c r="I75" s="34"/>
      <c r="J75" s="29">
        <f t="shared" si="0"/>
        <v>0</v>
      </c>
      <c r="K75" s="41">
        <v>0</v>
      </c>
      <c r="L75" s="34"/>
      <c r="M75" s="34"/>
      <c r="N75" s="29">
        <f t="shared" si="1"/>
        <v>0</v>
      </c>
      <c r="O75" s="29"/>
      <c r="P75" s="35">
        <f t="shared" si="6"/>
        <v>0</v>
      </c>
      <c r="Q75" s="35">
        <f t="shared" si="6"/>
        <v>0</v>
      </c>
      <c r="R75" s="29">
        <f t="shared" si="2"/>
        <v>0</v>
      </c>
      <c r="S75" s="35">
        <f t="shared" si="5"/>
        <v>0</v>
      </c>
      <c r="T75" s="35">
        <f t="shared" si="5"/>
        <v>0</v>
      </c>
      <c r="U75" s="35">
        <f t="shared" si="5"/>
        <v>0</v>
      </c>
      <c r="V75" s="29">
        <f t="shared" si="3"/>
        <v>0</v>
      </c>
      <c r="W75" s="30"/>
    </row>
    <row r="76" spans="1:23" s="18" customFormat="1" ht="30" hidden="1" x14ac:dyDescent="0.2">
      <c r="A76" s="36"/>
      <c r="B76" s="46" t="s">
        <v>178</v>
      </c>
      <c r="C76" s="44"/>
      <c r="D76" s="44"/>
      <c r="E76" s="44"/>
      <c r="F76" s="55" t="s">
        <v>55</v>
      </c>
      <c r="G76" s="43"/>
      <c r="H76" s="43"/>
      <c r="I76" s="43"/>
      <c r="J76" s="29">
        <f t="shared" ref="J76:J89" si="7">G76+H76</f>
        <v>0</v>
      </c>
      <c r="K76" s="41">
        <v>0</v>
      </c>
      <c r="L76" s="43"/>
      <c r="M76" s="43"/>
      <c r="N76" s="29">
        <f t="shared" ref="N76:N89" si="8">K76+L76</f>
        <v>0</v>
      </c>
      <c r="O76" s="56"/>
      <c r="P76" s="35">
        <f t="shared" si="6"/>
        <v>0</v>
      </c>
      <c r="Q76" s="35">
        <f t="shared" si="6"/>
        <v>0</v>
      </c>
      <c r="R76" s="29">
        <f t="shared" ref="R76:R89" si="9">O76+P76</f>
        <v>0</v>
      </c>
      <c r="S76" s="35">
        <f t="shared" ref="S76:U89" si="10">O76*105.1</f>
        <v>0</v>
      </c>
      <c r="T76" s="35">
        <f t="shared" si="10"/>
        <v>0</v>
      </c>
      <c r="U76" s="35">
        <f t="shared" si="10"/>
        <v>0</v>
      </c>
      <c r="V76" s="29">
        <f t="shared" ref="V76:V89" si="11">S76+T76</f>
        <v>0</v>
      </c>
      <c r="W76" s="30"/>
    </row>
    <row r="77" spans="1:23" s="18" customFormat="1" ht="30" hidden="1" x14ac:dyDescent="0.2">
      <c r="A77" s="36"/>
      <c r="B77" s="46" t="s">
        <v>179</v>
      </c>
      <c r="C77" s="44"/>
      <c r="D77" s="44" t="s">
        <v>180</v>
      </c>
      <c r="E77" s="44" t="s">
        <v>54</v>
      </c>
      <c r="F77" s="55" t="s">
        <v>181</v>
      </c>
      <c r="G77" s="43"/>
      <c r="H77" s="38"/>
      <c r="I77" s="38"/>
      <c r="J77" s="29">
        <f t="shared" si="7"/>
        <v>0</v>
      </c>
      <c r="K77" s="41">
        <v>0</v>
      </c>
      <c r="L77" s="38"/>
      <c r="M77" s="38"/>
      <c r="N77" s="29">
        <f t="shared" si="8"/>
        <v>0</v>
      </c>
      <c r="O77" s="56"/>
      <c r="P77" s="35">
        <f t="shared" si="6"/>
        <v>0</v>
      </c>
      <c r="Q77" s="35">
        <f t="shared" si="6"/>
        <v>0</v>
      </c>
      <c r="R77" s="29">
        <f t="shared" si="9"/>
        <v>0</v>
      </c>
      <c r="S77" s="35">
        <f t="shared" si="10"/>
        <v>0</v>
      </c>
      <c r="T77" s="35">
        <f t="shared" si="10"/>
        <v>0</v>
      </c>
      <c r="U77" s="35">
        <f t="shared" si="10"/>
        <v>0</v>
      </c>
      <c r="V77" s="29">
        <f t="shared" si="11"/>
        <v>0</v>
      </c>
      <c r="W77" s="30"/>
    </row>
    <row r="78" spans="1:23" s="18" customFormat="1" ht="60" hidden="1" x14ac:dyDescent="0.2">
      <c r="A78" s="36"/>
      <c r="B78" s="46"/>
      <c r="C78" s="44"/>
      <c r="D78" s="44"/>
      <c r="E78" s="44"/>
      <c r="F78" s="40" t="s">
        <v>163</v>
      </c>
      <c r="G78" s="43"/>
      <c r="H78" s="43"/>
      <c r="I78" s="43"/>
      <c r="J78" s="29">
        <f t="shared" si="7"/>
        <v>0</v>
      </c>
      <c r="K78" s="43">
        <v>0</v>
      </c>
      <c r="L78" s="43"/>
      <c r="M78" s="43"/>
      <c r="N78" s="29">
        <f t="shared" si="8"/>
        <v>0</v>
      </c>
      <c r="O78" s="56"/>
      <c r="P78" s="35">
        <f t="shared" si="6"/>
        <v>0</v>
      </c>
      <c r="Q78" s="35">
        <f t="shared" si="6"/>
        <v>0</v>
      </c>
      <c r="R78" s="29">
        <f t="shared" si="9"/>
        <v>0</v>
      </c>
      <c r="S78" s="35">
        <f t="shared" si="10"/>
        <v>0</v>
      </c>
      <c r="T78" s="35">
        <f t="shared" si="10"/>
        <v>0</v>
      </c>
      <c r="U78" s="35">
        <f t="shared" si="10"/>
        <v>0</v>
      </c>
      <c r="V78" s="29">
        <f t="shared" si="11"/>
        <v>0</v>
      </c>
      <c r="W78" s="30"/>
    </row>
    <row r="79" spans="1:23" s="18" customFormat="1" ht="15" hidden="1" x14ac:dyDescent="0.2">
      <c r="A79" s="36"/>
      <c r="B79" s="46" t="s">
        <v>182</v>
      </c>
      <c r="C79" s="44"/>
      <c r="D79" s="44" t="s">
        <v>183</v>
      </c>
      <c r="E79" s="44" t="s">
        <v>54</v>
      </c>
      <c r="F79" s="55" t="s">
        <v>184</v>
      </c>
      <c r="G79" s="43"/>
      <c r="H79" s="38"/>
      <c r="I79" s="38"/>
      <c r="J79" s="29">
        <f t="shared" si="7"/>
        <v>0</v>
      </c>
      <c r="K79" s="43">
        <v>0</v>
      </c>
      <c r="L79" s="38"/>
      <c r="M79" s="38"/>
      <c r="N79" s="29">
        <f t="shared" si="8"/>
        <v>0</v>
      </c>
      <c r="O79" s="56"/>
      <c r="P79" s="35">
        <f t="shared" si="6"/>
        <v>0</v>
      </c>
      <c r="Q79" s="35">
        <f t="shared" si="6"/>
        <v>0</v>
      </c>
      <c r="R79" s="29">
        <f t="shared" si="9"/>
        <v>0</v>
      </c>
      <c r="S79" s="35">
        <f t="shared" si="10"/>
        <v>0</v>
      </c>
      <c r="T79" s="35">
        <f t="shared" si="10"/>
        <v>0</v>
      </c>
      <c r="U79" s="35">
        <f t="shared" si="10"/>
        <v>0</v>
      </c>
      <c r="V79" s="29">
        <f t="shared" si="11"/>
        <v>0</v>
      </c>
      <c r="W79" s="30"/>
    </row>
    <row r="80" spans="1:23" s="18" customFormat="1" ht="75" hidden="1" x14ac:dyDescent="0.2">
      <c r="A80" s="36"/>
      <c r="B80" s="44" t="s">
        <v>185</v>
      </c>
      <c r="C80" s="44"/>
      <c r="D80" s="32" t="s">
        <v>71</v>
      </c>
      <c r="E80" s="32" t="s">
        <v>71</v>
      </c>
      <c r="F80" s="40" t="s">
        <v>72</v>
      </c>
      <c r="G80" s="41"/>
      <c r="H80" s="34"/>
      <c r="I80" s="34"/>
      <c r="J80" s="29">
        <f t="shared" si="7"/>
        <v>0</v>
      </c>
      <c r="K80" s="41">
        <v>0</v>
      </c>
      <c r="L80" s="34"/>
      <c r="M80" s="34"/>
      <c r="N80" s="29">
        <f t="shared" si="8"/>
        <v>0</v>
      </c>
      <c r="O80" s="29"/>
      <c r="P80" s="35">
        <f t="shared" si="6"/>
        <v>0</v>
      </c>
      <c r="Q80" s="35">
        <f t="shared" si="6"/>
        <v>0</v>
      </c>
      <c r="R80" s="29">
        <f t="shared" si="9"/>
        <v>0</v>
      </c>
      <c r="S80" s="35">
        <f t="shared" si="10"/>
        <v>0</v>
      </c>
      <c r="T80" s="35">
        <f t="shared" si="10"/>
        <v>0</v>
      </c>
      <c r="U80" s="35">
        <f t="shared" si="10"/>
        <v>0</v>
      </c>
      <c r="V80" s="29">
        <f t="shared" si="11"/>
        <v>0</v>
      </c>
      <c r="W80" s="30"/>
    </row>
    <row r="81" spans="1:23" s="18" customFormat="1" ht="15" hidden="1" x14ac:dyDescent="0.2">
      <c r="A81" s="36"/>
      <c r="B81" s="31" t="s">
        <v>186</v>
      </c>
      <c r="C81" s="32"/>
      <c r="D81" s="32"/>
      <c r="E81" s="32"/>
      <c r="F81" s="52" t="s">
        <v>187</v>
      </c>
      <c r="G81" s="41"/>
      <c r="H81" s="41"/>
      <c r="I81" s="41"/>
      <c r="J81" s="29">
        <f t="shared" si="7"/>
        <v>0</v>
      </c>
      <c r="K81" s="41">
        <v>0</v>
      </c>
      <c r="L81" s="41"/>
      <c r="M81" s="41"/>
      <c r="N81" s="29">
        <f t="shared" si="8"/>
        <v>0</v>
      </c>
      <c r="O81" s="29"/>
      <c r="P81" s="35">
        <f t="shared" si="6"/>
        <v>0</v>
      </c>
      <c r="Q81" s="35">
        <f t="shared" si="6"/>
        <v>0</v>
      </c>
      <c r="R81" s="29">
        <f t="shared" si="9"/>
        <v>0</v>
      </c>
      <c r="S81" s="35">
        <f t="shared" si="10"/>
        <v>0</v>
      </c>
      <c r="T81" s="35">
        <f t="shared" si="10"/>
        <v>0</v>
      </c>
      <c r="U81" s="35">
        <f t="shared" si="10"/>
        <v>0</v>
      </c>
      <c r="V81" s="29">
        <f t="shared" si="11"/>
        <v>0</v>
      </c>
      <c r="W81" s="30"/>
    </row>
    <row r="82" spans="1:23" s="18" customFormat="1" ht="15" hidden="1" x14ac:dyDescent="0.2">
      <c r="A82" s="36"/>
      <c r="B82" s="31" t="s">
        <v>188</v>
      </c>
      <c r="C82" s="32"/>
      <c r="D82" s="32"/>
      <c r="E82" s="32"/>
      <c r="F82" s="52" t="s">
        <v>187</v>
      </c>
      <c r="G82" s="41"/>
      <c r="H82" s="41"/>
      <c r="I82" s="41"/>
      <c r="J82" s="29">
        <f t="shared" si="7"/>
        <v>0</v>
      </c>
      <c r="K82" s="41">
        <v>0</v>
      </c>
      <c r="L82" s="41"/>
      <c r="M82" s="41"/>
      <c r="N82" s="29">
        <f t="shared" si="8"/>
        <v>0</v>
      </c>
      <c r="O82" s="29"/>
      <c r="P82" s="35">
        <f t="shared" si="6"/>
        <v>0</v>
      </c>
      <c r="Q82" s="35">
        <f t="shared" si="6"/>
        <v>0</v>
      </c>
      <c r="R82" s="29">
        <f t="shared" si="9"/>
        <v>0</v>
      </c>
      <c r="S82" s="35">
        <f t="shared" si="10"/>
        <v>0</v>
      </c>
      <c r="T82" s="35">
        <f t="shared" si="10"/>
        <v>0</v>
      </c>
      <c r="U82" s="35">
        <f t="shared" si="10"/>
        <v>0</v>
      </c>
      <c r="V82" s="29">
        <f t="shared" si="11"/>
        <v>0</v>
      </c>
      <c r="W82" s="30"/>
    </row>
    <row r="83" spans="1:23" s="18" customFormat="1" ht="60" hidden="1" x14ac:dyDescent="0.2">
      <c r="A83" s="36"/>
      <c r="B83" s="44" t="s">
        <v>189</v>
      </c>
      <c r="C83" s="44"/>
      <c r="D83" s="44" t="s">
        <v>190</v>
      </c>
      <c r="E83" s="44" t="s">
        <v>173</v>
      </c>
      <c r="F83" s="40" t="s">
        <v>191</v>
      </c>
      <c r="G83" s="41"/>
      <c r="H83" s="34"/>
      <c r="I83" s="34"/>
      <c r="J83" s="29">
        <f t="shared" si="7"/>
        <v>0</v>
      </c>
      <c r="K83" s="41">
        <v>0</v>
      </c>
      <c r="L83" s="34"/>
      <c r="M83" s="34"/>
      <c r="N83" s="29">
        <f t="shared" si="8"/>
        <v>0</v>
      </c>
      <c r="O83" s="29"/>
      <c r="P83" s="35">
        <f t="shared" si="6"/>
        <v>0</v>
      </c>
      <c r="Q83" s="35">
        <f t="shared" si="6"/>
        <v>0</v>
      </c>
      <c r="R83" s="29">
        <f t="shared" si="9"/>
        <v>0</v>
      </c>
      <c r="S83" s="35">
        <f t="shared" si="10"/>
        <v>0</v>
      </c>
      <c r="T83" s="35">
        <f t="shared" si="10"/>
        <v>0</v>
      </c>
      <c r="U83" s="35">
        <f t="shared" si="10"/>
        <v>0</v>
      </c>
      <c r="V83" s="29">
        <f t="shared" si="11"/>
        <v>0</v>
      </c>
      <c r="W83" s="30"/>
    </row>
    <row r="84" spans="1:23" s="18" customFormat="1" ht="15" hidden="1" x14ac:dyDescent="0.2">
      <c r="A84" s="36"/>
      <c r="B84" s="44" t="s">
        <v>192</v>
      </c>
      <c r="C84" s="44"/>
      <c r="D84" s="44" t="s">
        <v>193</v>
      </c>
      <c r="E84" s="44" t="s">
        <v>194</v>
      </c>
      <c r="F84" s="40" t="s">
        <v>195</v>
      </c>
      <c r="G84" s="41"/>
      <c r="H84" s="34"/>
      <c r="I84" s="34"/>
      <c r="J84" s="29">
        <f t="shared" si="7"/>
        <v>0</v>
      </c>
      <c r="K84" s="41">
        <v>0</v>
      </c>
      <c r="L84" s="34"/>
      <c r="M84" s="34"/>
      <c r="N84" s="29">
        <f t="shared" si="8"/>
        <v>0</v>
      </c>
      <c r="O84" s="29"/>
      <c r="P84" s="35">
        <f t="shared" si="6"/>
        <v>0</v>
      </c>
      <c r="Q84" s="35">
        <f t="shared" si="6"/>
        <v>0</v>
      </c>
      <c r="R84" s="29">
        <f t="shared" si="9"/>
        <v>0</v>
      </c>
      <c r="S84" s="35">
        <f t="shared" si="10"/>
        <v>0</v>
      </c>
      <c r="T84" s="35">
        <f t="shared" si="10"/>
        <v>0</v>
      </c>
      <c r="U84" s="35">
        <f t="shared" si="10"/>
        <v>0</v>
      </c>
      <c r="V84" s="29">
        <f t="shared" si="11"/>
        <v>0</v>
      </c>
      <c r="W84" s="30"/>
    </row>
    <row r="85" spans="1:23" s="18" customFormat="1" ht="45" hidden="1" x14ac:dyDescent="0.2">
      <c r="A85" s="36"/>
      <c r="B85" s="44" t="s">
        <v>196</v>
      </c>
      <c r="C85" s="44"/>
      <c r="D85" s="44" t="s">
        <v>197</v>
      </c>
      <c r="E85" s="44" t="s">
        <v>198</v>
      </c>
      <c r="F85" s="40" t="s">
        <v>199</v>
      </c>
      <c r="G85" s="41"/>
      <c r="H85" s="34"/>
      <c r="I85" s="34"/>
      <c r="J85" s="29">
        <f t="shared" si="7"/>
        <v>0</v>
      </c>
      <c r="K85" s="41">
        <v>0</v>
      </c>
      <c r="L85" s="34"/>
      <c r="M85" s="34"/>
      <c r="N85" s="29">
        <f t="shared" si="8"/>
        <v>0</v>
      </c>
      <c r="O85" s="29"/>
      <c r="P85" s="35">
        <f t="shared" si="6"/>
        <v>0</v>
      </c>
      <c r="Q85" s="35">
        <f t="shared" si="6"/>
        <v>0</v>
      </c>
      <c r="R85" s="29">
        <f t="shared" si="9"/>
        <v>0</v>
      </c>
      <c r="S85" s="35">
        <f t="shared" si="10"/>
        <v>0</v>
      </c>
      <c r="T85" s="35">
        <f t="shared" si="10"/>
        <v>0</v>
      </c>
      <c r="U85" s="35">
        <f t="shared" si="10"/>
        <v>0</v>
      </c>
      <c r="V85" s="29">
        <f t="shared" si="11"/>
        <v>0</v>
      </c>
      <c r="W85" s="30"/>
    </row>
    <row r="86" spans="1:23" s="18" customFormat="1" ht="30" hidden="1" x14ac:dyDescent="0.2">
      <c r="A86" s="36"/>
      <c r="B86" s="44" t="s">
        <v>200</v>
      </c>
      <c r="C86" s="44"/>
      <c r="D86" s="44" t="s">
        <v>201</v>
      </c>
      <c r="E86" s="44" t="s">
        <v>202</v>
      </c>
      <c r="F86" s="40" t="s">
        <v>203</v>
      </c>
      <c r="G86" s="41"/>
      <c r="H86" s="34"/>
      <c r="I86" s="34"/>
      <c r="J86" s="29">
        <f t="shared" si="7"/>
        <v>0</v>
      </c>
      <c r="K86" s="41">
        <v>0</v>
      </c>
      <c r="L86" s="34"/>
      <c r="M86" s="34"/>
      <c r="N86" s="29">
        <f t="shared" si="8"/>
        <v>0</v>
      </c>
      <c r="O86" s="29"/>
      <c r="P86" s="35">
        <f t="shared" si="6"/>
        <v>0</v>
      </c>
      <c r="Q86" s="35">
        <f t="shared" si="6"/>
        <v>0</v>
      </c>
      <c r="R86" s="29">
        <f t="shared" si="9"/>
        <v>0</v>
      </c>
      <c r="S86" s="35">
        <f t="shared" si="10"/>
        <v>0</v>
      </c>
      <c r="T86" s="35">
        <f t="shared" si="10"/>
        <v>0</v>
      </c>
      <c r="U86" s="35">
        <f t="shared" si="10"/>
        <v>0</v>
      </c>
      <c r="V86" s="29">
        <f t="shared" si="11"/>
        <v>0</v>
      </c>
      <c r="W86" s="30"/>
    </row>
    <row r="87" spans="1:23" s="18" customFormat="1" ht="15" hidden="1" x14ac:dyDescent="0.2">
      <c r="A87" s="36"/>
      <c r="B87" s="44" t="s">
        <v>204</v>
      </c>
      <c r="C87" s="44"/>
      <c r="D87" s="44" t="s">
        <v>205</v>
      </c>
      <c r="E87" s="44" t="s">
        <v>202</v>
      </c>
      <c r="F87" s="40" t="s">
        <v>206</v>
      </c>
      <c r="G87" s="41"/>
      <c r="H87" s="34"/>
      <c r="I87" s="34"/>
      <c r="J87" s="29">
        <f t="shared" si="7"/>
        <v>0</v>
      </c>
      <c r="K87" s="41">
        <v>0</v>
      </c>
      <c r="L87" s="34"/>
      <c r="M87" s="34"/>
      <c r="N87" s="29">
        <f t="shared" si="8"/>
        <v>0</v>
      </c>
      <c r="O87" s="29"/>
      <c r="P87" s="35">
        <f t="shared" si="6"/>
        <v>0</v>
      </c>
      <c r="Q87" s="35">
        <f t="shared" si="6"/>
        <v>0</v>
      </c>
      <c r="R87" s="29">
        <f t="shared" si="9"/>
        <v>0</v>
      </c>
      <c r="S87" s="35">
        <f t="shared" si="10"/>
        <v>0</v>
      </c>
      <c r="T87" s="35">
        <f t="shared" si="10"/>
        <v>0</v>
      </c>
      <c r="U87" s="35">
        <f t="shared" si="10"/>
        <v>0</v>
      </c>
      <c r="V87" s="29">
        <f t="shared" si="11"/>
        <v>0</v>
      </c>
      <c r="W87" s="30"/>
    </row>
    <row r="88" spans="1:23" s="18" customFormat="1" ht="30" hidden="1" x14ac:dyDescent="0.2">
      <c r="A88" s="36"/>
      <c r="B88" s="44" t="s">
        <v>207</v>
      </c>
      <c r="C88" s="44"/>
      <c r="D88" s="44" t="s">
        <v>208</v>
      </c>
      <c r="E88" s="44" t="s">
        <v>119</v>
      </c>
      <c r="F88" s="40" t="s">
        <v>209</v>
      </c>
      <c r="G88" s="41"/>
      <c r="H88" s="34"/>
      <c r="I88" s="34"/>
      <c r="J88" s="29">
        <f t="shared" si="7"/>
        <v>0</v>
      </c>
      <c r="K88" s="41">
        <v>0</v>
      </c>
      <c r="L88" s="34"/>
      <c r="M88" s="34"/>
      <c r="N88" s="29">
        <f t="shared" si="8"/>
        <v>0</v>
      </c>
      <c r="O88" s="29"/>
      <c r="P88" s="35">
        <f t="shared" si="6"/>
        <v>0</v>
      </c>
      <c r="Q88" s="35">
        <f t="shared" si="6"/>
        <v>0</v>
      </c>
      <c r="R88" s="29">
        <f t="shared" si="9"/>
        <v>0</v>
      </c>
      <c r="S88" s="35">
        <f t="shared" si="10"/>
        <v>0</v>
      </c>
      <c r="T88" s="35">
        <f t="shared" si="10"/>
        <v>0</v>
      </c>
      <c r="U88" s="35">
        <f t="shared" si="10"/>
        <v>0</v>
      </c>
      <c r="V88" s="29">
        <f t="shared" si="11"/>
        <v>0</v>
      </c>
      <c r="W88" s="30"/>
    </row>
    <row r="89" spans="1:23" s="18" customFormat="1" ht="30" hidden="1" x14ac:dyDescent="0.2">
      <c r="A89" s="36"/>
      <c r="B89" s="44" t="s">
        <v>210</v>
      </c>
      <c r="C89" s="44"/>
      <c r="D89" s="44" t="s">
        <v>211</v>
      </c>
      <c r="E89" s="44" t="s">
        <v>212</v>
      </c>
      <c r="F89" s="40" t="s">
        <v>213</v>
      </c>
      <c r="G89" s="41"/>
      <c r="H89" s="34"/>
      <c r="I89" s="34"/>
      <c r="J89" s="29">
        <f t="shared" si="7"/>
        <v>0</v>
      </c>
      <c r="K89" s="41">
        <v>0</v>
      </c>
      <c r="L89" s="34"/>
      <c r="M89" s="34"/>
      <c r="N89" s="29">
        <f t="shared" si="8"/>
        <v>0</v>
      </c>
      <c r="O89" s="29"/>
      <c r="P89" s="35">
        <f t="shared" si="6"/>
        <v>0</v>
      </c>
      <c r="Q89" s="35">
        <f t="shared" si="6"/>
        <v>0</v>
      </c>
      <c r="R89" s="29">
        <f t="shared" si="9"/>
        <v>0</v>
      </c>
      <c r="S89" s="35">
        <f t="shared" si="10"/>
        <v>0</v>
      </c>
      <c r="T89" s="35">
        <f t="shared" si="10"/>
        <v>0</v>
      </c>
      <c r="U89" s="35">
        <f t="shared" si="10"/>
        <v>0</v>
      </c>
      <c r="V89" s="29">
        <f t="shared" si="11"/>
        <v>0</v>
      </c>
      <c r="W89" s="30"/>
    </row>
    <row r="90" spans="1:23" s="18" customFormat="1" ht="33.75" customHeight="1" x14ac:dyDescent="0.2">
      <c r="A90" s="36"/>
      <c r="B90" s="33"/>
      <c r="C90" s="33"/>
      <c r="D90" s="32"/>
      <c r="E90" s="32"/>
      <c r="F90" s="52" t="s">
        <v>214</v>
      </c>
      <c r="G90" s="57">
        <f>G11+G12+G13+G14+G15+G16+G17+G18+G21</f>
        <v>146345732.93000001</v>
      </c>
      <c r="H90" s="57">
        <f t="shared" ref="H90:V90" si="12">H11+H12+H13+H14+H15+H16+H17+H18+H21</f>
        <v>21434826.560000002</v>
      </c>
      <c r="I90" s="57">
        <f t="shared" si="12"/>
        <v>13114385.029999999</v>
      </c>
      <c r="J90" s="58">
        <f t="shared" si="12"/>
        <v>167780559.49000001</v>
      </c>
      <c r="K90" s="57">
        <f>SUM(K11:K21)</f>
        <v>144027605</v>
      </c>
      <c r="L90" s="57">
        <f t="shared" si="12"/>
        <v>1651893</v>
      </c>
      <c r="M90" s="57">
        <f t="shared" si="12"/>
        <v>130197</v>
      </c>
      <c r="N90" s="58">
        <f t="shared" si="12"/>
        <v>145679498</v>
      </c>
      <c r="O90" s="58">
        <f t="shared" si="12"/>
        <v>151655872</v>
      </c>
      <c r="P90" s="58">
        <f>SUM(P11:P89)</f>
        <v>1660499.6</v>
      </c>
      <c r="Q90" s="58">
        <f t="shared" si="12"/>
        <v>137097.44099999999</v>
      </c>
      <c r="R90" s="58">
        <f t="shared" si="12"/>
        <v>153316371.59999999</v>
      </c>
      <c r="S90" s="58">
        <f t="shared" si="12"/>
        <v>158749309</v>
      </c>
      <c r="T90" s="58">
        <f t="shared" si="12"/>
        <v>1770200</v>
      </c>
      <c r="U90" s="58">
        <f t="shared" si="12"/>
        <v>144089.41049099999</v>
      </c>
      <c r="V90" s="58">
        <f t="shared" si="12"/>
        <v>160519509</v>
      </c>
      <c r="W90" s="30"/>
    </row>
    <row r="91" spans="1:23" ht="31.5" customHeight="1" x14ac:dyDescent="0.2"/>
    <row r="92" spans="1:23" ht="31.5" customHeight="1" x14ac:dyDescent="0.25">
      <c r="F92" s="396" t="s">
        <v>441</v>
      </c>
      <c r="V92" s="423" t="s">
        <v>439</v>
      </c>
    </row>
  </sheetData>
  <mergeCells count="28">
    <mergeCell ref="B1:J1"/>
    <mergeCell ref="B5:T5"/>
    <mergeCell ref="B7:B9"/>
    <mergeCell ref="C7:C9"/>
    <mergeCell ref="D7:D9"/>
    <mergeCell ref="E7:E9"/>
    <mergeCell ref="F7:F9"/>
    <mergeCell ref="S8:S9"/>
    <mergeCell ref="L8:L9"/>
    <mergeCell ref="M8:M9"/>
    <mergeCell ref="G7:J7"/>
    <mergeCell ref="K7:N7"/>
    <mergeCell ref="O7:R7"/>
    <mergeCell ref="S7:V7"/>
    <mergeCell ref="V8:V9"/>
    <mergeCell ref="T8:T9"/>
    <mergeCell ref="U8:U9"/>
    <mergeCell ref="F59:F63"/>
    <mergeCell ref="P8:P9"/>
    <mergeCell ref="Q8:Q9"/>
    <mergeCell ref="R8:R9"/>
    <mergeCell ref="I8:I9"/>
    <mergeCell ref="J8:J9"/>
    <mergeCell ref="K8:K9"/>
    <mergeCell ref="G8:G9"/>
    <mergeCell ref="H8:H9"/>
    <mergeCell ref="N8:N9"/>
    <mergeCell ref="O8:O9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4" fitToHeight="4" orientation="landscape" horizontalDpi="300" verticalDpi="300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V95"/>
  <sheetViews>
    <sheetView showGridLines="0" showZeros="0" topLeftCell="O1" zoomScaleNormal="100" zoomScaleSheetLayoutView="90" workbookViewId="0">
      <selection activeCell="F93" sqref="F93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12.7109375" style="16" customWidth="1"/>
    <col min="5" max="5" width="9" style="16" hidden="1" customWidth="1"/>
    <col min="6" max="6" width="42.140625" style="16" customWidth="1"/>
    <col min="7" max="7" width="13.140625" style="16" customWidth="1"/>
    <col min="8" max="9" width="12.7109375" style="16" customWidth="1"/>
    <col min="10" max="10" width="12.85546875" style="16" customWidth="1"/>
    <col min="11" max="11" width="11.28515625" style="18" customWidth="1"/>
    <col min="12" max="12" width="10" style="18" customWidth="1"/>
    <col min="13" max="13" width="9.85546875" style="18" customWidth="1"/>
    <col min="14" max="14" width="11.42578125" style="18" customWidth="1"/>
    <col min="15" max="15" width="13.85546875" style="19" customWidth="1"/>
    <col min="16" max="16" width="11.42578125" style="19" customWidth="1"/>
    <col min="17" max="17" width="11.28515625" style="19" customWidth="1"/>
    <col min="18" max="18" width="13.28515625" style="19" customWidth="1"/>
    <col min="19" max="19" width="15.85546875" style="19" customWidth="1"/>
    <col min="20" max="20" width="13.85546875" style="19" customWidth="1"/>
    <col min="21" max="21" width="13.5703125" style="19" customWidth="1"/>
    <col min="22" max="22" width="17.5703125" style="19" customWidth="1"/>
    <col min="23" max="16384" width="7.85546875" style="19"/>
  </cols>
  <sheetData>
    <row r="1" spans="1:22" s="15" customFormat="1" ht="18.75" customHeight="1" x14ac:dyDescent="0.25">
      <c r="A1" s="13"/>
      <c r="B1" s="460"/>
      <c r="C1" s="460"/>
      <c r="D1" s="460"/>
      <c r="E1" s="460"/>
      <c r="F1" s="460"/>
      <c r="G1" s="460"/>
      <c r="H1" s="460"/>
      <c r="I1" s="460"/>
      <c r="J1" s="460"/>
      <c r="K1" s="14"/>
      <c r="L1" s="14"/>
      <c r="M1" s="14"/>
      <c r="N1" s="14"/>
      <c r="S1" s="256" t="s">
        <v>391</v>
      </c>
      <c r="T1" s="256"/>
      <c r="U1" s="256"/>
      <c r="V1" s="256"/>
    </row>
    <row r="2" spans="1:22" ht="15.75" x14ac:dyDescent="0.25">
      <c r="G2" s="17"/>
      <c r="H2" s="17"/>
      <c r="I2" s="17"/>
      <c r="J2" s="17"/>
      <c r="S2" s="256" t="s">
        <v>435</v>
      </c>
      <c r="T2" s="256"/>
      <c r="U2" s="256"/>
      <c r="V2" s="256"/>
    </row>
    <row r="3" spans="1:22" ht="15.75" x14ac:dyDescent="0.25">
      <c r="G3" s="17"/>
      <c r="H3" s="17"/>
      <c r="I3" s="17"/>
      <c r="J3" s="17"/>
      <c r="S3" s="256" t="s">
        <v>436</v>
      </c>
      <c r="T3" s="256"/>
      <c r="U3" s="256"/>
      <c r="V3" s="256"/>
    </row>
    <row r="4" spans="1:22" ht="15.75" x14ac:dyDescent="0.25">
      <c r="G4" s="17"/>
      <c r="H4" s="17"/>
      <c r="I4" s="17"/>
      <c r="J4" s="17"/>
      <c r="S4" s="256" t="s">
        <v>438</v>
      </c>
      <c r="T4" s="256"/>
      <c r="U4" s="256"/>
      <c r="V4" s="256"/>
    </row>
    <row r="5" spans="1:22" ht="63" customHeight="1" x14ac:dyDescent="0.2">
      <c r="B5" s="461" t="s">
        <v>443</v>
      </c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</row>
    <row r="6" spans="1:22" ht="18.75" x14ac:dyDescent="0.3">
      <c r="B6" s="20"/>
      <c r="C6" s="21"/>
      <c r="D6" s="21"/>
      <c r="E6" s="21"/>
      <c r="F6" s="21"/>
      <c r="G6" s="21"/>
      <c r="H6" s="21"/>
      <c r="I6" s="21"/>
      <c r="J6" s="21"/>
      <c r="V6" s="19" t="s">
        <v>18</v>
      </c>
    </row>
    <row r="7" spans="1:22" s="18" customFormat="1" ht="21.75" customHeight="1" x14ac:dyDescent="0.2">
      <c r="A7" s="22"/>
      <c r="B7" s="462" t="s">
        <v>19</v>
      </c>
      <c r="C7" s="462" t="s">
        <v>20</v>
      </c>
      <c r="D7" s="462" t="s">
        <v>215</v>
      </c>
      <c r="E7" s="462" t="s">
        <v>22</v>
      </c>
      <c r="F7" s="466" t="s">
        <v>216</v>
      </c>
      <c r="G7" s="469" t="s">
        <v>24</v>
      </c>
      <c r="H7" s="469"/>
      <c r="I7" s="469"/>
      <c r="J7" s="469"/>
      <c r="K7" s="469" t="s">
        <v>25</v>
      </c>
      <c r="L7" s="469"/>
      <c r="M7" s="469"/>
      <c r="N7" s="469"/>
      <c r="O7" s="469" t="s">
        <v>26</v>
      </c>
      <c r="P7" s="469"/>
      <c r="Q7" s="469"/>
      <c r="R7" s="469"/>
      <c r="S7" s="469" t="s">
        <v>410</v>
      </c>
      <c r="T7" s="469"/>
      <c r="U7" s="469"/>
      <c r="V7" s="469"/>
    </row>
    <row r="8" spans="1:22" s="18" customFormat="1" ht="16.5" customHeight="1" x14ac:dyDescent="0.2">
      <c r="A8" s="23"/>
      <c r="B8" s="463"/>
      <c r="C8" s="463"/>
      <c r="D8" s="465"/>
      <c r="E8" s="465"/>
      <c r="F8" s="467"/>
      <c r="G8" s="458" t="s">
        <v>4</v>
      </c>
      <c r="H8" s="457" t="s">
        <v>5</v>
      </c>
      <c r="I8" s="452" t="s">
        <v>27</v>
      </c>
      <c r="J8" s="458" t="s">
        <v>28</v>
      </c>
      <c r="K8" s="458" t="s">
        <v>4</v>
      </c>
      <c r="L8" s="457" t="s">
        <v>5</v>
      </c>
      <c r="M8" s="452" t="s">
        <v>27</v>
      </c>
      <c r="N8" s="458" t="s">
        <v>28</v>
      </c>
      <c r="O8" s="458" t="s">
        <v>4</v>
      </c>
      <c r="P8" s="457" t="s">
        <v>5</v>
      </c>
      <c r="Q8" s="452" t="s">
        <v>27</v>
      </c>
      <c r="R8" s="458" t="s">
        <v>28</v>
      </c>
      <c r="S8" s="458" t="s">
        <v>4</v>
      </c>
      <c r="T8" s="457" t="s">
        <v>5</v>
      </c>
      <c r="U8" s="452" t="s">
        <v>27</v>
      </c>
      <c r="V8" s="458" t="s">
        <v>28</v>
      </c>
    </row>
    <row r="9" spans="1:22" s="18" customFormat="1" ht="139.5" customHeight="1" x14ac:dyDescent="0.2">
      <c r="A9" s="24"/>
      <c r="B9" s="464"/>
      <c r="C9" s="464"/>
      <c r="D9" s="459"/>
      <c r="E9" s="459"/>
      <c r="F9" s="468"/>
      <c r="G9" s="458"/>
      <c r="H9" s="457"/>
      <c r="I9" s="459"/>
      <c r="J9" s="458"/>
      <c r="K9" s="458"/>
      <c r="L9" s="457"/>
      <c r="M9" s="453"/>
      <c r="N9" s="458"/>
      <c r="O9" s="458"/>
      <c r="P9" s="457"/>
      <c r="Q9" s="459"/>
      <c r="R9" s="458"/>
      <c r="S9" s="458"/>
      <c r="T9" s="457"/>
      <c r="U9" s="459"/>
      <c r="V9" s="458"/>
    </row>
    <row r="10" spans="1:22" s="30" customFormat="1" ht="21.6" customHeight="1" x14ac:dyDescent="0.2">
      <c r="A10" s="25"/>
      <c r="B10" s="26" t="s">
        <v>29</v>
      </c>
      <c r="C10" s="26"/>
      <c r="D10" s="26" t="s">
        <v>29</v>
      </c>
      <c r="E10" s="26" t="s">
        <v>30</v>
      </c>
      <c r="F10" s="27">
        <v>2</v>
      </c>
      <c r="G10" s="28">
        <v>3</v>
      </c>
      <c r="H10" s="28">
        <v>4</v>
      </c>
      <c r="I10" s="28">
        <v>5</v>
      </c>
      <c r="J10" s="28">
        <v>6</v>
      </c>
      <c r="K10" s="29">
        <v>7</v>
      </c>
      <c r="L10" s="29">
        <v>8</v>
      </c>
      <c r="M10" s="29">
        <v>9</v>
      </c>
      <c r="N10" s="29">
        <v>10</v>
      </c>
      <c r="O10" s="28">
        <v>11</v>
      </c>
      <c r="P10" s="28">
        <v>12</v>
      </c>
      <c r="Q10" s="28">
        <v>13</v>
      </c>
      <c r="R10" s="28">
        <v>14</v>
      </c>
      <c r="S10" s="28">
        <v>15</v>
      </c>
      <c r="T10" s="28">
        <v>16</v>
      </c>
      <c r="U10" s="28">
        <v>17</v>
      </c>
      <c r="V10" s="28">
        <v>18</v>
      </c>
    </row>
    <row r="11" spans="1:22" s="30" customFormat="1" ht="42.75" customHeight="1" x14ac:dyDescent="0.2">
      <c r="A11" s="25"/>
      <c r="B11" s="31" t="s">
        <v>31</v>
      </c>
      <c r="C11" s="31"/>
      <c r="D11" s="32" t="s">
        <v>34</v>
      </c>
      <c r="E11" s="31"/>
      <c r="F11" s="33" t="s">
        <v>217</v>
      </c>
      <c r="G11" s="38">
        <v>38135343</v>
      </c>
      <c r="H11" s="38">
        <v>12060706.08</v>
      </c>
      <c r="I11" s="38">
        <v>10769347.029999999</v>
      </c>
      <c r="J11" s="56">
        <f>G11+H11</f>
        <v>50196049.079999998</v>
      </c>
      <c r="K11" s="34">
        <f>34469494-247682+7524</f>
        <v>34229336</v>
      </c>
      <c r="L11" s="34">
        <v>134500</v>
      </c>
      <c r="M11" s="34"/>
      <c r="N11" s="29">
        <f>K11+L11</f>
        <v>34363836</v>
      </c>
      <c r="O11" s="35">
        <f>'коефіціенти (2)'!T13+8949964-6747081</f>
        <v>33791841.387814</v>
      </c>
      <c r="P11" s="35">
        <f>63414+75400</f>
        <v>138814</v>
      </c>
      <c r="Q11" s="35"/>
      <c r="R11" s="29">
        <f>O11+P11</f>
        <v>33930655.387814</v>
      </c>
      <c r="S11" s="35">
        <f>'коефіціенти (2)'!U13+2761014</f>
        <v>35289037.057774201</v>
      </c>
      <c r="T11" s="35">
        <f>65684+76300</f>
        <v>141984</v>
      </c>
      <c r="U11" s="35"/>
      <c r="V11" s="29">
        <f>S11+T11</f>
        <v>35431021.057774201</v>
      </c>
    </row>
    <row r="12" spans="1:22" s="18" customFormat="1" ht="41.25" customHeight="1" x14ac:dyDescent="0.2">
      <c r="A12" s="36"/>
      <c r="B12" s="31" t="s">
        <v>34</v>
      </c>
      <c r="C12" s="31"/>
      <c r="D12" s="32" t="s">
        <v>162</v>
      </c>
      <c r="E12" s="31"/>
      <c r="F12" s="33" t="s">
        <v>218</v>
      </c>
      <c r="G12" s="34">
        <v>96703124.930000007</v>
      </c>
      <c r="H12" s="34">
        <v>4869380.75</v>
      </c>
      <c r="I12" s="34">
        <v>2306504</v>
      </c>
      <c r="J12" s="29">
        <f t="shared" ref="J12:J75" si="0">G12+H12</f>
        <v>101572505.68000001</v>
      </c>
      <c r="K12" s="34">
        <f>G12*101.4674/100</f>
        <v>98122146.585222811</v>
      </c>
      <c r="L12" s="34">
        <v>1503393</v>
      </c>
      <c r="M12" s="34">
        <v>130197</v>
      </c>
      <c r="N12" s="29">
        <f t="shared" ref="N12:N75" si="1">K12+L12</f>
        <v>99625539.585222811</v>
      </c>
      <c r="O12" s="35">
        <f>'коефіціенти (2)'!T68+6747081</f>
        <v>105945571.891596</v>
      </c>
      <c r="P12" s="35">
        <v>1506889</v>
      </c>
      <c r="Q12" s="35">
        <f>'коефіціенти (2)'!X68</f>
        <v>137097.44099999999</v>
      </c>
      <c r="R12" s="29">
        <f t="shared" ref="R12:R75" si="2">O12+P12</f>
        <v>107452460.891596</v>
      </c>
      <c r="S12" s="35">
        <f>'коефіціенти (2)'!U68+8934354</f>
        <v>110754792.0548349</v>
      </c>
      <c r="T12" s="35">
        <v>1612890</v>
      </c>
      <c r="U12" s="35">
        <f>'коефіціенти (2)'!Y68</f>
        <v>144089.41049099999</v>
      </c>
      <c r="V12" s="29">
        <f t="shared" ref="V12:V75" si="3">S12+T12</f>
        <v>112367682.0548349</v>
      </c>
    </row>
    <row r="13" spans="1:22" s="18" customFormat="1" ht="39.75" customHeight="1" x14ac:dyDescent="0.2">
      <c r="A13" s="36"/>
      <c r="B13" s="31"/>
      <c r="C13" s="31"/>
      <c r="D13" s="32" t="s">
        <v>188</v>
      </c>
      <c r="E13" s="31"/>
      <c r="F13" s="33" t="s">
        <v>219</v>
      </c>
      <c r="G13" s="38">
        <v>11507265</v>
      </c>
      <c r="H13" s="38">
        <v>4504739.7300000004</v>
      </c>
      <c r="I13" s="38">
        <v>38534</v>
      </c>
      <c r="J13" s="56">
        <f t="shared" si="0"/>
        <v>16012004.73</v>
      </c>
      <c r="K13" s="34">
        <f>G13*101.4674/100</f>
        <v>11676122.60661</v>
      </c>
      <c r="L13" s="34">
        <v>14000</v>
      </c>
      <c r="M13" s="34"/>
      <c r="N13" s="29">
        <f t="shared" si="1"/>
        <v>11690122.60661</v>
      </c>
      <c r="O13" s="35">
        <f>'коефіціенти (2)'!T90</f>
        <v>11918459.035916001</v>
      </c>
      <c r="P13" s="35">
        <v>14797</v>
      </c>
      <c r="Q13" s="35">
        <f>'коефіціенти (2)'!X90</f>
        <v>0</v>
      </c>
      <c r="R13" s="29">
        <f t="shared" si="2"/>
        <v>11933256.035916001</v>
      </c>
      <c r="S13" s="35">
        <f>'коефіціенти (2)'!U90</f>
        <v>12705480.032553634</v>
      </c>
      <c r="T13" s="35">
        <v>15326</v>
      </c>
      <c r="U13" s="35">
        <f>'коефіціенти (2)'!Y90</f>
        <v>0</v>
      </c>
      <c r="V13" s="29">
        <f t="shared" si="3"/>
        <v>12720806.032553634</v>
      </c>
    </row>
    <row r="14" spans="1:22" s="18" customFormat="1" ht="21.75" hidden="1" customHeight="1" x14ac:dyDescent="0.2">
      <c r="A14" s="36"/>
      <c r="B14" s="31"/>
      <c r="C14" s="31"/>
      <c r="D14" s="32"/>
      <c r="E14" s="31"/>
      <c r="F14" s="33"/>
      <c r="G14" s="34"/>
      <c r="H14" s="34"/>
      <c r="I14" s="34"/>
      <c r="J14" s="29"/>
      <c r="K14" s="34"/>
      <c r="L14" s="34"/>
      <c r="M14" s="34"/>
      <c r="N14" s="29"/>
      <c r="O14" s="35"/>
      <c r="P14" s="35"/>
      <c r="Q14" s="35"/>
      <c r="R14" s="29"/>
      <c r="S14" s="35"/>
      <c r="T14" s="35"/>
      <c r="U14" s="35"/>
      <c r="V14" s="29"/>
    </row>
    <row r="15" spans="1:22" s="18" customFormat="1" ht="22.5" hidden="1" customHeight="1" x14ac:dyDescent="0.2">
      <c r="A15" s="36"/>
      <c r="B15" s="31"/>
      <c r="C15" s="31"/>
      <c r="D15" s="32"/>
      <c r="E15" s="31"/>
      <c r="F15" s="33"/>
      <c r="G15" s="34"/>
      <c r="H15" s="38"/>
      <c r="I15" s="38"/>
      <c r="J15" s="29"/>
      <c r="K15" s="34"/>
      <c r="L15" s="38"/>
      <c r="M15" s="38"/>
      <c r="N15" s="29"/>
      <c r="O15" s="35"/>
      <c r="P15" s="35"/>
      <c r="Q15" s="35"/>
      <c r="R15" s="29"/>
      <c r="S15" s="35"/>
      <c r="T15" s="35"/>
      <c r="U15" s="35"/>
      <c r="V15" s="29"/>
    </row>
    <row r="16" spans="1:22" s="18" customFormat="1" ht="21.75" hidden="1" customHeight="1" x14ac:dyDescent="0.2">
      <c r="A16" s="36"/>
      <c r="B16" s="31" t="s">
        <v>43</v>
      </c>
      <c r="C16" s="32"/>
      <c r="D16" s="32"/>
      <c r="E16" s="32"/>
      <c r="F16" s="33"/>
      <c r="G16" s="34"/>
      <c r="H16" s="34"/>
      <c r="I16" s="34"/>
      <c r="J16" s="29"/>
      <c r="K16" s="34"/>
      <c r="L16" s="34"/>
      <c r="M16" s="34"/>
      <c r="N16" s="29"/>
      <c r="O16" s="35"/>
      <c r="P16" s="35"/>
      <c r="Q16" s="35"/>
      <c r="R16" s="29"/>
      <c r="S16" s="35"/>
      <c r="T16" s="35"/>
      <c r="U16" s="35"/>
      <c r="V16" s="29"/>
    </row>
    <row r="17" spans="1:22" s="18" customFormat="1" ht="21.75" hidden="1" customHeight="1" x14ac:dyDescent="0.2">
      <c r="A17" s="36"/>
      <c r="B17" s="31"/>
      <c r="C17" s="32"/>
      <c r="D17" s="32"/>
      <c r="E17" s="32"/>
      <c r="F17" s="37"/>
      <c r="G17" s="34"/>
      <c r="H17" s="38"/>
      <c r="I17" s="38"/>
      <c r="J17" s="29"/>
      <c r="K17" s="34"/>
      <c r="L17" s="38"/>
      <c r="M17" s="38"/>
      <c r="N17" s="29"/>
      <c r="O17" s="35"/>
      <c r="P17" s="35"/>
      <c r="Q17" s="35"/>
      <c r="R17" s="29"/>
      <c r="S17" s="35"/>
      <c r="T17" s="35"/>
      <c r="U17" s="35"/>
      <c r="V17" s="29"/>
    </row>
    <row r="18" spans="1:22" s="18" customFormat="1" ht="20.25" hidden="1" customHeight="1" x14ac:dyDescent="0.2">
      <c r="A18" s="36"/>
      <c r="B18" s="31" t="s">
        <v>49</v>
      </c>
      <c r="C18" s="32"/>
      <c r="D18" s="32"/>
      <c r="E18" s="32"/>
      <c r="F18" s="33"/>
      <c r="G18" s="34"/>
      <c r="H18" s="34"/>
      <c r="I18" s="34"/>
      <c r="J18" s="29"/>
      <c r="K18" s="34"/>
      <c r="L18" s="34"/>
      <c r="M18" s="34"/>
      <c r="N18" s="29"/>
      <c r="O18" s="35"/>
      <c r="P18" s="35"/>
      <c r="Q18" s="35"/>
      <c r="R18" s="29"/>
      <c r="S18" s="35"/>
      <c r="T18" s="35"/>
      <c r="U18" s="35"/>
      <c r="V18" s="29"/>
    </row>
    <row r="19" spans="1:22" s="18" customFormat="1" ht="15" hidden="1" customHeight="1" x14ac:dyDescent="0.2">
      <c r="A19" s="36"/>
      <c r="B19" s="31"/>
      <c r="C19" s="32"/>
      <c r="D19" s="32"/>
      <c r="E19" s="32"/>
      <c r="F19" s="37"/>
      <c r="G19" s="34"/>
      <c r="H19" s="38"/>
      <c r="I19" s="38"/>
      <c r="J19" s="29"/>
      <c r="K19" s="34"/>
      <c r="L19" s="38"/>
      <c r="M19" s="38"/>
      <c r="N19" s="29"/>
      <c r="O19" s="35"/>
      <c r="P19" s="35"/>
      <c r="Q19" s="35"/>
      <c r="R19" s="29"/>
      <c r="S19" s="35"/>
      <c r="T19" s="35"/>
      <c r="U19" s="35"/>
      <c r="V19" s="29"/>
    </row>
    <row r="20" spans="1:22" s="18" customFormat="1" ht="15" hidden="1" customHeight="1" x14ac:dyDescent="0.2">
      <c r="A20" s="36"/>
      <c r="B20" s="31" t="s">
        <v>53</v>
      </c>
      <c r="C20" s="32"/>
      <c r="D20" s="32"/>
      <c r="E20" s="32"/>
      <c r="F20" s="39"/>
      <c r="G20" s="34"/>
      <c r="H20" s="38"/>
      <c r="I20" s="38"/>
      <c r="J20" s="29"/>
      <c r="K20" s="34"/>
      <c r="L20" s="38"/>
      <c r="M20" s="38"/>
      <c r="N20" s="29"/>
      <c r="O20" s="35"/>
      <c r="P20" s="35"/>
      <c r="Q20" s="35"/>
      <c r="R20" s="29"/>
      <c r="S20" s="35"/>
      <c r="T20" s="35"/>
      <c r="U20" s="35"/>
      <c r="V20" s="29"/>
    </row>
    <row r="21" spans="1:22" s="18" customFormat="1" ht="23.25" hidden="1" customHeight="1" x14ac:dyDescent="0.2">
      <c r="A21" s="36"/>
      <c r="B21" s="32" t="s">
        <v>56</v>
      </c>
      <c r="C21" s="31"/>
      <c r="D21" s="32"/>
      <c r="E21" s="32"/>
      <c r="F21" s="37"/>
      <c r="G21" s="34"/>
      <c r="H21" s="38"/>
      <c r="I21" s="38"/>
      <c r="J21" s="29"/>
      <c r="K21" s="34"/>
      <c r="L21" s="38"/>
      <c r="M21" s="38"/>
      <c r="N21" s="29"/>
      <c r="O21" s="35"/>
      <c r="P21" s="35"/>
      <c r="Q21" s="35"/>
      <c r="R21" s="29"/>
      <c r="S21" s="35"/>
      <c r="T21" s="35"/>
      <c r="U21" s="35"/>
      <c r="V21" s="29"/>
    </row>
    <row r="22" spans="1:22" s="18" customFormat="1" ht="30" hidden="1" x14ac:dyDescent="0.2">
      <c r="A22" s="36"/>
      <c r="B22" s="32" t="s">
        <v>60</v>
      </c>
      <c r="C22" s="32"/>
      <c r="D22" s="32" t="s">
        <v>61</v>
      </c>
      <c r="E22" s="32" t="s">
        <v>62</v>
      </c>
      <c r="F22" s="40" t="s">
        <v>63</v>
      </c>
      <c r="G22" s="41"/>
      <c r="H22" s="38"/>
      <c r="I22" s="38"/>
      <c r="J22" s="29">
        <f t="shared" si="0"/>
        <v>0</v>
      </c>
      <c r="K22" s="41"/>
      <c r="L22" s="38"/>
      <c r="M22" s="38"/>
      <c r="N22" s="29">
        <f t="shared" si="1"/>
        <v>0</v>
      </c>
      <c r="O22" s="29"/>
      <c r="P22" s="35">
        <f t="shared" ref="P22:Q37" si="4">L22*105.3</f>
        <v>0</v>
      </c>
      <c r="Q22" s="35">
        <f t="shared" si="4"/>
        <v>0</v>
      </c>
      <c r="R22" s="29">
        <f t="shared" si="2"/>
        <v>0</v>
      </c>
      <c r="S22" s="35">
        <f t="shared" ref="S22:U75" si="5">O22*105.1</f>
        <v>0</v>
      </c>
      <c r="T22" s="35">
        <f t="shared" si="5"/>
        <v>0</v>
      </c>
      <c r="U22" s="35">
        <f t="shared" si="5"/>
        <v>0</v>
      </c>
      <c r="V22" s="29">
        <f t="shared" si="3"/>
        <v>0</v>
      </c>
    </row>
    <row r="23" spans="1:22" s="18" customFormat="1" ht="15" hidden="1" x14ac:dyDescent="0.2">
      <c r="A23" s="36"/>
      <c r="B23" s="32"/>
      <c r="C23" s="31"/>
      <c r="D23" s="32"/>
      <c r="E23" s="32"/>
      <c r="F23" s="42"/>
      <c r="G23" s="41"/>
      <c r="H23" s="43"/>
      <c r="I23" s="43"/>
      <c r="J23" s="29">
        <f t="shared" si="0"/>
        <v>0</v>
      </c>
      <c r="K23" s="41"/>
      <c r="L23" s="43"/>
      <c r="M23" s="43"/>
      <c r="N23" s="29">
        <f t="shared" si="1"/>
        <v>0</v>
      </c>
      <c r="O23" s="29"/>
      <c r="P23" s="35">
        <f t="shared" si="4"/>
        <v>0</v>
      </c>
      <c r="Q23" s="35">
        <f t="shared" si="4"/>
        <v>0</v>
      </c>
      <c r="R23" s="29">
        <f t="shared" si="2"/>
        <v>0</v>
      </c>
      <c r="S23" s="35">
        <f t="shared" si="5"/>
        <v>0</v>
      </c>
      <c r="T23" s="35">
        <f t="shared" si="5"/>
        <v>0</v>
      </c>
      <c r="U23" s="35">
        <f t="shared" si="5"/>
        <v>0</v>
      </c>
      <c r="V23" s="29">
        <f t="shared" si="3"/>
        <v>0</v>
      </c>
    </row>
    <row r="24" spans="1:22" s="18" customFormat="1" ht="45" hidden="1" x14ac:dyDescent="0.2">
      <c r="A24" s="36"/>
      <c r="B24" s="32" t="s">
        <v>64</v>
      </c>
      <c r="C24" s="32"/>
      <c r="D24" s="32" t="s">
        <v>65</v>
      </c>
      <c r="E24" s="32" t="s">
        <v>62</v>
      </c>
      <c r="F24" s="40" t="s">
        <v>66</v>
      </c>
      <c r="G24" s="41"/>
      <c r="H24" s="38"/>
      <c r="I24" s="38"/>
      <c r="J24" s="29">
        <f t="shared" si="0"/>
        <v>0</v>
      </c>
      <c r="K24" s="41"/>
      <c r="L24" s="38"/>
      <c r="M24" s="38"/>
      <c r="N24" s="29">
        <f t="shared" si="1"/>
        <v>0</v>
      </c>
      <c r="O24" s="29"/>
      <c r="P24" s="35">
        <f t="shared" si="4"/>
        <v>0</v>
      </c>
      <c r="Q24" s="35">
        <f t="shared" si="4"/>
        <v>0</v>
      </c>
      <c r="R24" s="29">
        <f t="shared" si="2"/>
        <v>0</v>
      </c>
      <c r="S24" s="35">
        <f t="shared" si="5"/>
        <v>0</v>
      </c>
      <c r="T24" s="35">
        <f t="shared" si="5"/>
        <v>0</v>
      </c>
      <c r="U24" s="35">
        <f t="shared" si="5"/>
        <v>0</v>
      </c>
      <c r="V24" s="29">
        <f t="shared" si="3"/>
        <v>0</v>
      </c>
    </row>
    <row r="25" spans="1:22" s="18" customFormat="1" ht="15" hidden="1" x14ac:dyDescent="0.2">
      <c r="A25" s="36"/>
      <c r="B25" s="32" t="s">
        <v>67</v>
      </c>
      <c r="C25" s="32"/>
      <c r="D25" s="32" t="s">
        <v>68</v>
      </c>
      <c r="E25" s="32" t="s">
        <v>62</v>
      </c>
      <c r="F25" s="40" t="s">
        <v>69</v>
      </c>
      <c r="G25" s="41"/>
      <c r="H25" s="38"/>
      <c r="I25" s="38"/>
      <c r="J25" s="29">
        <f t="shared" si="0"/>
        <v>0</v>
      </c>
      <c r="K25" s="41"/>
      <c r="L25" s="38"/>
      <c r="M25" s="38"/>
      <c r="N25" s="29">
        <f t="shared" si="1"/>
        <v>0</v>
      </c>
      <c r="O25" s="29"/>
      <c r="P25" s="35">
        <f t="shared" si="4"/>
        <v>0</v>
      </c>
      <c r="Q25" s="35">
        <f t="shared" si="4"/>
        <v>0</v>
      </c>
      <c r="R25" s="29">
        <f t="shared" si="2"/>
        <v>0</v>
      </c>
      <c r="S25" s="35">
        <f t="shared" si="5"/>
        <v>0</v>
      </c>
      <c r="T25" s="35">
        <f t="shared" si="5"/>
        <v>0</v>
      </c>
      <c r="U25" s="35">
        <f t="shared" si="5"/>
        <v>0</v>
      </c>
      <c r="V25" s="29">
        <f t="shared" si="3"/>
        <v>0</v>
      </c>
    </row>
    <row r="26" spans="1:22" s="18" customFormat="1" ht="75" hidden="1" x14ac:dyDescent="0.2">
      <c r="A26" s="36"/>
      <c r="B26" s="32" t="s">
        <v>70</v>
      </c>
      <c r="C26" s="32"/>
      <c r="D26" s="32" t="s">
        <v>71</v>
      </c>
      <c r="E26" s="32" t="s">
        <v>62</v>
      </c>
      <c r="F26" s="40" t="s">
        <v>72</v>
      </c>
      <c r="G26" s="41"/>
      <c r="H26" s="38"/>
      <c r="I26" s="38"/>
      <c r="J26" s="29">
        <f t="shared" si="0"/>
        <v>0</v>
      </c>
      <c r="K26" s="41"/>
      <c r="L26" s="38"/>
      <c r="M26" s="38"/>
      <c r="N26" s="29">
        <f t="shared" si="1"/>
        <v>0</v>
      </c>
      <c r="O26" s="29"/>
      <c r="P26" s="35">
        <f t="shared" si="4"/>
        <v>0</v>
      </c>
      <c r="Q26" s="35">
        <f t="shared" si="4"/>
        <v>0</v>
      </c>
      <c r="R26" s="29">
        <f t="shared" si="2"/>
        <v>0</v>
      </c>
      <c r="S26" s="35">
        <f t="shared" si="5"/>
        <v>0</v>
      </c>
      <c r="T26" s="35">
        <f t="shared" si="5"/>
        <v>0</v>
      </c>
      <c r="U26" s="35">
        <f t="shared" si="5"/>
        <v>0</v>
      </c>
      <c r="V26" s="29">
        <f t="shared" si="3"/>
        <v>0</v>
      </c>
    </row>
    <row r="27" spans="1:22" s="18" customFormat="1" ht="30" hidden="1" x14ac:dyDescent="0.2">
      <c r="A27" s="36"/>
      <c r="B27" s="44" t="s">
        <v>73</v>
      </c>
      <c r="C27" s="32"/>
      <c r="D27" s="32" t="s">
        <v>74</v>
      </c>
      <c r="E27" s="32" t="s">
        <v>75</v>
      </c>
      <c r="F27" s="40" t="s">
        <v>76</v>
      </c>
      <c r="G27" s="41"/>
      <c r="H27" s="34"/>
      <c r="I27" s="34"/>
      <c r="J27" s="29">
        <f t="shared" si="0"/>
        <v>0</v>
      </c>
      <c r="K27" s="41"/>
      <c r="L27" s="34"/>
      <c r="M27" s="34"/>
      <c r="N27" s="29">
        <f t="shared" si="1"/>
        <v>0</v>
      </c>
      <c r="O27" s="29"/>
      <c r="P27" s="35">
        <f t="shared" si="4"/>
        <v>0</v>
      </c>
      <c r="Q27" s="35">
        <f t="shared" si="4"/>
        <v>0</v>
      </c>
      <c r="R27" s="29">
        <f t="shared" si="2"/>
        <v>0</v>
      </c>
      <c r="S27" s="35">
        <f t="shared" si="5"/>
        <v>0</v>
      </c>
      <c r="T27" s="35">
        <f t="shared" si="5"/>
        <v>0</v>
      </c>
      <c r="U27" s="35">
        <f t="shared" si="5"/>
        <v>0</v>
      </c>
      <c r="V27" s="29">
        <f t="shared" si="3"/>
        <v>0</v>
      </c>
    </row>
    <row r="28" spans="1:22" s="18" customFormat="1" ht="30" hidden="1" x14ac:dyDescent="0.2">
      <c r="A28" s="36"/>
      <c r="B28" s="44" t="s">
        <v>77</v>
      </c>
      <c r="C28" s="32"/>
      <c r="D28" s="32" t="s">
        <v>78</v>
      </c>
      <c r="E28" s="32" t="s">
        <v>79</v>
      </c>
      <c r="F28" s="40" t="s">
        <v>80</v>
      </c>
      <c r="G28" s="41"/>
      <c r="H28" s="34"/>
      <c r="I28" s="34"/>
      <c r="J28" s="29">
        <f t="shared" si="0"/>
        <v>0</v>
      </c>
      <c r="K28" s="41"/>
      <c r="L28" s="34"/>
      <c r="M28" s="34"/>
      <c r="N28" s="29">
        <f t="shared" si="1"/>
        <v>0</v>
      </c>
      <c r="O28" s="29"/>
      <c r="P28" s="35">
        <f t="shared" si="4"/>
        <v>0</v>
      </c>
      <c r="Q28" s="35">
        <f t="shared" si="4"/>
        <v>0</v>
      </c>
      <c r="R28" s="29">
        <f t="shared" si="2"/>
        <v>0</v>
      </c>
      <c r="S28" s="35">
        <f t="shared" si="5"/>
        <v>0</v>
      </c>
      <c r="T28" s="35">
        <f t="shared" si="5"/>
        <v>0</v>
      </c>
      <c r="U28" s="35">
        <f t="shared" si="5"/>
        <v>0</v>
      </c>
      <c r="V28" s="29">
        <f t="shared" si="3"/>
        <v>0</v>
      </c>
    </row>
    <row r="29" spans="1:22" s="18" customFormat="1" ht="45" hidden="1" x14ac:dyDescent="0.2">
      <c r="A29" s="36"/>
      <c r="B29" s="44" t="s">
        <v>81</v>
      </c>
      <c r="C29" s="32"/>
      <c r="D29" s="32" t="s">
        <v>82</v>
      </c>
      <c r="E29" s="32" t="s">
        <v>83</v>
      </c>
      <c r="F29" s="40" t="s">
        <v>84</v>
      </c>
      <c r="G29" s="41"/>
      <c r="H29" s="41"/>
      <c r="I29" s="41"/>
      <c r="J29" s="29">
        <f t="shared" si="0"/>
        <v>0</v>
      </c>
      <c r="K29" s="41"/>
      <c r="L29" s="41"/>
      <c r="M29" s="41"/>
      <c r="N29" s="29">
        <f t="shared" si="1"/>
        <v>0</v>
      </c>
      <c r="O29" s="29"/>
      <c r="P29" s="35">
        <f t="shared" si="4"/>
        <v>0</v>
      </c>
      <c r="Q29" s="35">
        <f t="shared" si="4"/>
        <v>0</v>
      </c>
      <c r="R29" s="29">
        <f t="shared" si="2"/>
        <v>0</v>
      </c>
      <c r="S29" s="35">
        <f t="shared" si="5"/>
        <v>0</v>
      </c>
      <c r="T29" s="35">
        <f t="shared" si="5"/>
        <v>0</v>
      </c>
      <c r="U29" s="35">
        <f t="shared" si="5"/>
        <v>0</v>
      </c>
      <c r="V29" s="29">
        <f t="shared" si="3"/>
        <v>0</v>
      </c>
    </row>
    <row r="30" spans="1:22" s="18" customFormat="1" ht="30" hidden="1" x14ac:dyDescent="0.2">
      <c r="A30" s="36"/>
      <c r="B30" s="44" t="s">
        <v>85</v>
      </c>
      <c r="C30" s="32"/>
      <c r="D30" s="32" t="s">
        <v>86</v>
      </c>
      <c r="E30" s="32" t="s">
        <v>83</v>
      </c>
      <c r="F30" s="40" t="s">
        <v>87</v>
      </c>
      <c r="G30" s="41"/>
      <c r="H30" s="34"/>
      <c r="I30" s="34"/>
      <c r="J30" s="29">
        <f t="shared" si="0"/>
        <v>0</v>
      </c>
      <c r="K30" s="41"/>
      <c r="L30" s="34"/>
      <c r="M30" s="34"/>
      <c r="N30" s="29">
        <f t="shared" si="1"/>
        <v>0</v>
      </c>
      <c r="O30" s="29"/>
      <c r="P30" s="35">
        <f t="shared" si="4"/>
        <v>0</v>
      </c>
      <c r="Q30" s="35">
        <f t="shared" si="4"/>
        <v>0</v>
      </c>
      <c r="R30" s="29">
        <f t="shared" si="2"/>
        <v>0</v>
      </c>
      <c r="S30" s="35">
        <f t="shared" si="5"/>
        <v>0</v>
      </c>
      <c r="T30" s="35">
        <f t="shared" si="5"/>
        <v>0</v>
      </c>
      <c r="U30" s="35">
        <f t="shared" si="5"/>
        <v>0</v>
      </c>
      <c r="V30" s="29">
        <f t="shared" si="3"/>
        <v>0</v>
      </c>
    </row>
    <row r="31" spans="1:22" s="18" customFormat="1" ht="15" hidden="1" x14ac:dyDescent="0.2">
      <c r="A31" s="36"/>
      <c r="B31" s="45"/>
      <c r="C31" s="31"/>
      <c r="D31" s="31"/>
      <c r="E31" s="31"/>
      <c r="F31" s="42"/>
      <c r="G31" s="41"/>
      <c r="H31" s="41"/>
      <c r="I31" s="41"/>
      <c r="J31" s="29">
        <f t="shared" si="0"/>
        <v>0</v>
      </c>
      <c r="K31" s="41"/>
      <c r="L31" s="41"/>
      <c r="M31" s="41"/>
      <c r="N31" s="29">
        <f t="shared" si="1"/>
        <v>0</v>
      </c>
      <c r="O31" s="29"/>
      <c r="P31" s="35">
        <f t="shared" si="4"/>
        <v>0</v>
      </c>
      <c r="Q31" s="35">
        <f t="shared" si="4"/>
        <v>0</v>
      </c>
      <c r="R31" s="29">
        <f t="shared" si="2"/>
        <v>0</v>
      </c>
      <c r="S31" s="35">
        <f t="shared" si="5"/>
        <v>0</v>
      </c>
      <c r="T31" s="35">
        <f t="shared" si="5"/>
        <v>0</v>
      </c>
      <c r="U31" s="35">
        <f t="shared" si="5"/>
        <v>0</v>
      </c>
      <c r="V31" s="29">
        <f t="shared" si="3"/>
        <v>0</v>
      </c>
    </row>
    <row r="32" spans="1:22" s="18" customFormat="1" ht="30" hidden="1" x14ac:dyDescent="0.2">
      <c r="A32" s="36"/>
      <c r="B32" s="44" t="s">
        <v>88</v>
      </c>
      <c r="C32" s="32"/>
      <c r="D32" s="32" t="s">
        <v>89</v>
      </c>
      <c r="E32" s="32" t="s">
        <v>90</v>
      </c>
      <c r="F32" s="40" t="s">
        <v>91</v>
      </c>
      <c r="G32" s="41"/>
      <c r="H32" s="34"/>
      <c r="I32" s="34"/>
      <c r="J32" s="29">
        <f t="shared" si="0"/>
        <v>0</v>
      </c>
      <c r="K32" s="41"/>
      <c r="L32" s="34"/>
      <c r="M32" s="34"/>
      <c r="N32" s="29">
        <f t="shared" si="1"/>
        <v>0</v>
      </c>
      <c r="O32" s="29"/>
      <c r="P32" s="35">
        <f t="shared" si="4"/>
        <v>0</v>
      </c>
      <c r="Q32" s="35">
        <f t="shared" si="4"/>
        <v>0</v>
      </c>
      <c r="R32" s="29">
        <f t="shared" si="2"/>
        <v>0</v>
      </c>
      <c r="S32" s="35">
        <f t="shared" si="5"/>
        <v>0</v>
      </c>
      <c r="T32" s="35">
        <f t="shared" si="5"/>
        <v>0</v>
      </c>
      <c r="U32" s="35">
        <f t="shared" si="5"/>
        <v>0</v>
      </c>
      <c r="V32" s="29">
        <f t="shared" si="3"/>
        <v>0</v>
      </c>
    </row>
    <row r="33" spans="1:22" s="18" customFormat="1" ht="15" hidden="1" x14ac:dyDescent="0.2">
      <c r="A33" s="36"/>
      <c r="B33" s="45"/>
      <c r="C33" s="31"/>
      <c r="D33" s="31"/>
      <c r="E33" s="31"/>
      <c r="F33" s="42"/>
      <c r="G33" s="41"/>
      <c r="H33" s="41"/>
      <c r="I33" s="41"/>
      <c r="J33" s="29">
        <f t="shared" si="0"/>
        <v>0</v>
      </c>
      <c r="K33" s="41"/>
      <c r="L33" s="41"/>
      <c r="M33" s="41"/>
      <c r="N33" s="29">
        <f t="shared" si="1"/>
        <v>0</v>
      </c>
      <c r="O33" s="29"/>
      <c r="P33" s="35">
        <f t="shared" si="4"/>
        <v>0</v>
      </c>
      <c r="Q33" s="35">
        <f t="shared" si="4"/>
        <v>0</v>
      </c>
      <c r="R33" s="29">
        <f t="shared" si="2"/>
        <v>0</v>
      </c>
      <c r="S33" s="35">
        <f t="shared" si="5"/>
        <v>0</v>
      </c>
      <c r="T33" s="35">
        <f t="shared" si="5"/>
        <v>0</v>
      </c>
      <c r="U33" s="35">
        <f t="shared" si="5"/>
        <v>0</v>
      </c>
      <c r="V33" s="29">
        <f t="shared" si="3"/>
        <v>0</v>
      </c>
    </row>
    <row r="34" spans="1:22" s="18" customFormat="1" ht="39.75" hidden="1" customHeight="1" x14ac:dyDescent="0.2">
      <c r="A34" s="36"/>
      <c r="B34" s="44"/>
      <c r="C34" s="32"/>
      <c r="D34" s="32"/>
      <c r="E34" s="32"/>
      <c r="F34" s="40" t="s">
        <v>92</v>
      </c>
      <c r="G34" s="41"/>
      <c r="H34" s="34"/>
      <c r="I34" s="34"/>
      <c r="J34" s="29">
        <f t="shared" si="0"/>
        <v>0</v>
      </c>
      <c r="K34" s="41"/>
      <c r="L34" s="34"/>
      <c r="M34" s="34"/>
      <c r="N34" s="29">
        <f t="shared" si="1"/>
        <v>0</v>
      </c>
      <c r="O34" s="29"/>
      <c r="P34" s="35">
        <f t="shared" si="4"/>
        <v>0</v>
      </c>
      <c r="Q34" s="35">
        <f t="shared" si="4"/>
        <v>0</v>
      </c>
      <c r="R34" s="29">
        <f t="shared" si="2"/>
        <v>0</v>
      </c>
      <c r="S34" s="35">
        <f t="shared" si="5"/>
        <v>0</v>
      </c>
      <c r="T34" s="35">
        <f t="shared" si="5"/>
        <v>0</v>
      </c>
      <c r="U34" s="35">
        <f t="shared" si="5"/>
        <v>0</v>
      </c>
      <c r="V34" s="29">
        <f t="shared" si="3"/>
        <v>0</v>
      </c>
    </row>
    <row r="35" spans="1:22" s="18" customFormat="1" ht="45" hidden="1" x14ac:dyDescent="0.2">
      <c r="A35" s="36"/>
      <c r="B35" s="44" t="s">
        <v>93</v>
      </c>
      <c r="C35" s="32"/>
      <c r="D35" s="32" t="s">
        <v>94</v>
      </c>
      <c r="E35" s="32" t="s">
        <v>90</v>
      </c>
      <c r="F35" s="40" t="s">
        <v>95</v>
      </c>
      <c r="G35" s="41"/>
      <c r="H35" s="34"/>
      <c r="I35" s="34"/>
      <c r="J35" s="29">
        <f t="shared" si="0"/>
        <v>0</v>
      </c>
      <c r="K35" s="41"/>
      <c r="L35" s="34"/>
      <c r="M35" s="34"/>
      <c r="N35" s="29">
        <f t="shared" si="1"/>
        <v>0</v>
      </c>
      <c r="O35" s="29"/>
      <c r="P35" s="35">
        <f t="shared" si="4"/>
        <v>0</v>
      </c>
      <c r="Q35" s="35">
        <f t="shared" si="4"/>
        <v>0</v>
      </c>
      <c r="R35" s="29">
        <f t="shared" si="2"/>
        <v>0</v>
      </c>
      <c r="S35" s="35">
        <f t="shared" si="5"/>
        <v>0</v>
      </c>
      <c r="T35" s="35">
        <f t="shared" si="5"/>
        <v>0</v>
      </c>
      <c r="U35" s="35">
        <f t="shared" si="5"/>
        <v>0</v>
      </c>
      <c r="V35" s="29">
        <f t="shared" si="3"/>
        <v>0</v>
      </c>
    </row>
    <row r="36" spans="1:22" s="18" customFormat="1" ht="30" hidden="1" customHeight="1" x14ac:dyDescent="0.2">
      <c r="A36" s="36"/>
      <c r="B36" s="46"/>
      <c r="C36" s="32"/>
      <c r="D36" s="32"/>
      <c r="E36" s="44"/>
      <c r="F36" s="40" t="s">
        <v>92</v>
      </c>
      <c r="G36" s="41"/>
      <c r="H36" s="34"/>
      <c r="I36" s="34"/>
      <c r="J36" s="29">
        <f t="shared" si="0"/>
        <v>0</v>
      </c>
      <c r="K36" s="41"/>
      <c r="L36" s="34"/>
      <c r="M36" s="34"/>
      <c r="N36" s="29">
        <f t="shared" si="1"/>
        <v>0</v>
      </c>
      <c r="O36" s="29"/>
      <c r="P36" s="35">
        <f t="shared" si="4"/>
        <v>0</v>
      </c>
      <c r="Q36" s="35">
        <f t="shared" si="4"/>
        <v>0</v>
      </c>
      <c r="R36" s="29">
        <f t="shared" si="2"/>
        <v>0</v>
      </c>
      <c r="S36" s="35">
        <f t="shared" si="5"/>
        <v>0</v>
      </c>
      <c r="T36" s="35">
        <f t="shared" si="5"/>
        <v>0</v>
      </c>
      <c r="U36" s="35">
        <f t="shared" si="5"/>
        <v>0</v>
      </c>
      <c r="V36" s="29">
        <f t="shared" si="3"/>
        <v>0</v>
      </c>
    </row>
    <row r="37" spans="1:22" s="18" customFormat="1" ht="53.25" hidden="1" customHeight="1" x14ac:dyDescent="0.2">
      <c r="A37" s="36"/>
      <c r="B37" s="46"/>
      <c r="C37" s="32"/>
      <c r="D37" s="44"/>
      <c r="E37" s="44"/>
      <c r="F37" s="39"/>
      <c r="G37" s="41"/>
      <c r="H37" s="34"/>
      <c r="I37" s="34"/>
      <c r="J37" s="29">
        <f t="shared" si="0"/>
        <v>0</v>
      </c>
      <c r="K37" s="41"/>
      <c r="L37" s="34"/>
      <c r="M37" s="34"/>
      <c r="N37" s="29">
        <f t="shared" si="1"/>
        <v>0</v>
      </c>
      <c r="O37" s="29"/>
      <c r="P37" s="35">
        <f t="shared" si="4"/>
        <v>0</v>
      </c>
      <c r="Q37" s="35">
        <f t="shared" si="4"/>
        <v>0</v>
      </c>
      <c r="R37" s="29">
        <f t="shared" si="2"/>
        <v>0</v>
      </c>
      <c r="S37" s="35">
        <f t="shared" si="5"/>
        <v>0</v>
      </c>
      <c r="T37" s="35">
        <f t="shared" si="5"/>
        <v>0</v>
      </c>
      <c r="U37" s="35">
        <f t="shared" si="5"/>
        <v>0</v>
      </c>
      <c r="V37" s="29">
        <f t="shared" si="3"/>
        <v>0</v>
      </c>
    </row>
    <row r="38" spans="1:22" s="18" customFormat="1" ht="30" hidden="1" x14ac:dyDescent="0.2">
      <c r="A38" s="36"/>
      <c r="B38" s="45"/>
      <c r="C38" s="31"/>
      <c r="D38" s="45"/>
      <c r="E38" s="45"/>
      <c r="F38" s="40" t="s">
        <v>92</v>
      </c>
      <c r="G38" s="41"/>
      <c r="H38" s="38"/>
      <c r="I38" s="38"/>
      <c r="J38" s="29">
        <f t="shared" si="0"/>
        <v>0</v>
      </c>
      <c r="K38" s="41"/>
      <c r="L38" s="38"/>
      <c r="M38" s="38"/>
      <c r="N38" s="29">
        <f t="shared" si="1"/>
        <v>0</v>
      </c>
      <c r="O38" s="29"/>
      <c r="P38" s="35">
        <f t="shared" ref="P38:Q89" si="6">L38*105.3</f>
        <v>0</v>
      </c>
      <c r="Q38" s="35">
        <f t="shared" si="6"/>
        <v>0</v>
      </c>
      <c r="R38" s="29">
        <f t="shared" si="2"/>
        <v>0</v>
      </c>
      <c r="S38" s="35">
        <f t="shared" si="5"/>
        <v>0</v>
      </c>
      <c r="T38" s="35">
        <f t="shared" si="5"/>
        <v>0</v>
      </c>
      <c r="U38" s="35">
        <f t="shared" si="5"/>
        <v>0</v>
      </c>
      <c r="V38" s="29">
        <f t="shared" si="3"/>
        <v>0</v>
      </c>
    </row>
    <row r="39" spans="1:22" s="18" customFormat="1" ht="30" hidden="1" x14ac:dyDescent="0.2">
      <c r="A39" s="36"/>
      <c r="B39" s="44" t="s">
        <v>96</v>
      </c>
      <c r="C39" s="32"/>
      <c r="D39" s="32" t="s">
        <v>97</v>
      </c>
      <c r="E39" s="32" t="s">
        <v>98</v>
      </c>
      <c r="F39" s="40" t="s">
        <v>99</v>
      </c>
      <c r="G39" s="41"/>
      <c r="H39" s="34"/>
      <c r="I39" s="34"/>
      <c r="J39" s="29">
        <f t="shared" si="0"/>
        <v>0</v>
      </c>
      <c r="K39" s="41"/>
      <c r="L39" s="34"/>
      <c r="M39" s="34"/>
      <c r="N39" s="29">
        <f t="shared" si="1"/>
        <v>0</v>
      </c>
      <c r="O39" s="29"/>
      <c r="P39" s="35">
        <f t="shared" si="6"/>
        <v>0</v>
      </c>
      <c r="Q39" s="35">
        <f t="shared" si="6"/>
        <v>0</v>
      </c>
      <c r="R39" s="29">
        <f t="shared" si="2"/>
        <v>0</v>
      </c>
      <c r="S39" s="35">
        <f t="shared" si="5"/>
        <v>0</v>
      </c>
      <c r="T39" s="35">
        <f t="shared" si="5"/>
        <v>0</v>
      </c>
      <c r="U39" s="35">
        <f t="shared" si="5"/>
        <v>0</v>
      </c>
      <c r="V39" s="29">
        <f t="shared" si="3"/>
        <v>0</v>
      </c>
    </row>
    <row r="40" spans="1:22" s="18" customFormat="1" ht="30" hidden="1" x14ac:dyDescent="0.2">
      <c r="A40" s="36"/>
      <c r="B40" s="44" t="s">
        <v>100</v>
      </c>
      <c r="C40" s="32"/>
      <c r="D40" s="32" t="s">
        <v>101</v>
      </c>
      <c r="E40" s="32" t="s">
        <v>98</v>
      </c>
      <c r="F40" s="40" t="s">
        <v>102</v>
      </c>
      <c r="G40" s="41"/>
      <c r="H40" s="34"/>
      <c r="I40" s="34"/>
      <c r="J40" s="29">
        <f t="shared" si="0"/>
        <v>0</v>
      </c>
      <c r="K40" s="41"/>
      <c r="L40" s="34"/>
      <c r="M40" s="34"/>
      <c r="N40" s="29">
        <f t="shared" si="1"/>
        <v>0</v>
      </c>
      <c r="O40" s="29"/>
      <c r="P40" s="35">
        <f t="shared" si="6"/>
        <v>0</v>
      </c>
      <c r="Q40" s="35">
        <f t="shared" si="6"/>
        <v>0</v>
      </c>
      <c r="R40" s="29">
        <f t="shared" si="2"/>
        <v>0</v>
      </c>
      <c r="S40" s="35">
        <f t="shared" si="5"/>
        <v>0</v>
      </c>
      <c r="T40" s="35">
        <f t="shared" si="5"/>
        <v>0</v>
      </c>
      <c r="U40" s="35">
        <f t="shared" si="5"/>
        <v>0</v>
      </c>
      <c r="V40" s="29">
        <f t="shared" si="3"/>
        <v>0</v>
      </c>
    </row>
    <row r="41" spans="1:22" s="18" customFormat="1" ht="15" hidden="1" x14ac:dyDescent="0.2">
      <c r="A41" s="36"/>
      <c r="B41" s="44" t="s">
        <v>103</v>
      </c>
      <c r="C41" s="32"/>
      <c r="D41" s="32" t="s">
        <v>104</v>
      </c>
      <c r="E41" s="32" t="s">
        <v>98</v>
      </c>
      <c r="F41" s="40" t="s">
        <v>105</v>
      </c>
      <c r="G41" s="41"/>
      <c r="H41" s="34"/>
      <c r="I41" s="34"/>
      <c r="J41" s="29">
        <f t="shared" si="0"/>
        <v>0</v>
      </c>
      <c r="K41" s="41"/>
      <c r="L41" s="34"/>
      <c r="M41" s="34"/>
      <c r="N41" s="29">
        <f t="shared" si="1"/>
        <v>0</v>
      </c>
      <c r="O41" s="29"/>
      <c r="P41" s="35">
        <f t="shared" si="6"/>
        <v>0</v>
      </c>
      <c r="Q41" s="35">
        <f t="shared" si="6"/>
        <v>0</v>
      </c>
      <c r="R41" s="29">
        <f t="shared" si="2"/>
        <v>0</v>
      </c>
      <c r="S41" s="35">
        <f t="shared" si="5"/>
        <v>0</v>
      </c>
      <c r="T41" s="35">
        <f t="shared" si="5"/>
        <v>0</v>
      </c>
      <c r="U41" s="35">
        <f t="shared" si="5"/>
        <v>0</v>
      </c>
      <c r="V41" s="29">
        <f t="shared" si="3"/>
        <v>0</v>
      </c>
    </row>
    <row r="42" spans="1:22" s="18" customFormat="1" ht="15" hidden="1" x14ac:dyDescent="0.2">
      <c r="A42" s="36"/>
      <c r="B42" s="44"/>
      <c r="C42" s="32"/>
      <c r="D42" s="32"/>
      <c r="E42" s="44"/>
      <c r="F42" s="40"/>
      <c r="G42" s="41"/>
      <c r="H42" s="41"/>
      <c r="I42" s="41"/>
      <c r="J42" s="29">
        <f t="shared" si="0"/>
        <v>0</v>
      </c>
      <c r="K42" s="41"/>
      <c r="L42" s="41"/>
      <c r="M42" s="41"/>
      <c r="N42" s="29">
        <f t="shared" si="1"/>
        <v>0</v>
      </c>
      <c r="O42" s="29"/>
      <c r="P42" s="35">
        <f t="shared" si="6"/>
        <v>0</v>
      </c>
      <c r="Q42" s="35">
        <f t="shared" si="6"/>
        <v>0</v>
      </c>
      <c r="R42" s="29">
        <f t="shared" si="2"/>
        <v>0</v>
      </c>
      <c r="S42" s="35">
        <f t="shared" si="5"/>
        <v>0</v>
      </c>
      <c r="T42" s="35">
        <f t="shared" si="5"/>
        <v>0</v>
      </c>
      <c r="U42" s="35">
        <f t="shared" si="5"/>
        <v>0</v>
      </c>
      <c r="V42" s="29">
        <f t="shared" si="3"/>
        <v>0</v>
      </c>
    </row>
    <row r="43" spans="1:22" s="18" customFormat="1" ht="105" hidden="1" x14ac:dyDescent="0.2">
      <c r="A43" s="36"/>
      <c r="B43" s="44" t="s">
        <v>106</v>
      </c>
      <c r="C43" s="32"/>
      <c r="D43" s="32" t="s">
        <v>107</v>
      </c>
      <c r="E43" s="32" t="s">
        <v>108</v>
      </c>
      <c r="F43" s="40" t="s">
        <v>109</v>
      </c>
      <c r="G43" s="41"/>
      <c r="H43" s="34"/>
      <c r="I43" s="34"/>
      <c r="J43" s="29">
        <f t="shared" si="0"/>
        <v>0</v>
      </c>
      <c r="K43" s="41"/>
      <c r="L43" s="34"/>
      <c r="M43" s="34"/>
      <c r="N43" s="29">
        <f t="shared" si="1"/>
        <v>0</v>
      </c>
      <c r="O43" s="29"/>
      <c r="P43" s="35">
        <f t="shared" si="6"/>
        <v>0</v>
      </c>
      <c r="Q43" s="35">
        <f t="shared" si="6"/>
        <v>0</v>
      </c>
      <c r="R43" s="29">
        <f t="shared" si="2"/>
        <v>0</v>
      </c>
      <c r="S43" s="35">
        <f t="shared" si="5"/>
        <v>0</v>
      </c>
      <c r="T43" s="35">
        <f t="shared" si="5"/>
        <v>0</v>
      </c>
      <c r="U43" s="35">
        <f t="shared" si="5"/>
        <v>0</v>
      </c>
      <c r="V43" s="29">
        <f t="shared" si="3"/>
        <v>0</v>
      </c>
    </row>
    <row r="44" spans="1:22" s="18" customFormat="1" ht="30" hidden="1" x14ac:dyDescent="0.2">
      <c r="A44" s="36"/>
      <c r="B44" s="44" t="s">
        <v>110</v>
      </c>
      <c r="C44" s="32"/>
      <c r="D44" s="32" t="s">
        <v>111</v>
      </c>
      <c r="E44" s="32" t="s">
        <v>108</v>
      </c>
      <c r="F44" s="40" t="s">
        <v>112</v>
      </c>
      <c r="G44" s="41"/>
      <c r="H44" s="34"/>
      <c r="I44" s="34"/>
      <c r="J44" s="29">
        <f t="shared" si="0"/>
        <v>0</v>
      </c>
      <c r="K44" s="41"/>
      <c r="L44" s="34"/>
      <c r="M44" s="34"/>
      <c r="N44" s="29">
        <f t="shared" si="1"/>
        <v>0</v>
      </c>
      <c r="O44" s="29"/>
      <c r="P44" s="35">
        <f t="shared" si="6"/>
        <v>0</v>
      </c>
      <c r="Q44" s="35">
        <f t="shared" si="6"/>
        <v>0</v>
      </c>
      <c r="R44" s="29">
        <f t="shared" si="2"/>
        <v>0</v>
      </c>
      <c r="S44" s="35">
        <f t="shared" si="5"/>
        <v>0</v>
      </c>
      <c r="T44" s="35">
        <f t="shared" si="5"/>
        <v>0</v>
      </c>
      <c r="U44" s="35">
        <f t="shared" si="5"/>
        <v>0</v>
      </c>
      <c r="V44" s="29">
        <f t="shared" si="3"/>
        <v>0</v>
      </c>
    </row>
    <row r="45" spans="1:22" s="18" customFormat="1" ht="15" hidden="1" x14ac:dyDescent="0.2">
      <c r="A45" s="36"/>
      <c r="B45" s="44" t="s">
        <v>113</v>
      </c>
      <c r="C45" s="32"/>
      <c r="D45" s="32" t="s">
        <v>114</v>
      </c>
      <c r="E45" s="32" t="s">
        <v>115</v>
      </c>
      <c r="F45" s="40" t="s">
        <v>116</v>
      </c>
      <c r="G45" s="41"/>
      <c r="H45" s="34"/>
      <c r="I45" s="34"/>
      <c r="J45" s="29">
        <f t="shared" si="0"/>
        <v>0</v>
      </c>
      <c r="K45" s="41"/>
      <c r="L45" s="34"/>
      <c r="M45" s="34"/>
      <c r="N45" s="29">
        <f t="shared" si="1"/>
        <v>0</v>
      </c>
      <c r="O45" s="29"/>
      <c r="P45" s="35">
        <f t="shared" si="6"/>
        <v>0</v>
      </c>
      <c r="Q45" s="35">
        <f t="shared" si="6"/>
        <v>0</v>
      </c>
      <c r="R45" s="29">
        <f t="shared" si="2"/>
        <v>0</v>
      </c>
      <c r="S45" s="35">
        <f t="shared" si="5"/>
        <v>0</v>
      </c>
      <c r="T45" s="35">
        <f t="shared" si="5"/>
        <v>0</v>
      </c>
      <c r="U45" s="35">
        <f t="shared" si="5"/>
        <v>0</v>
      </c>
      <c r="V45" s="29">
        <f t="shared" si="3"/>
        <v>0</v>
      </c>
    </row>
    <row r="46" spans="1:22" s="18" customFormat="1" ht="30" hidden="1" x14ac:dyDescent="0.2">
      <c r="A46" s="36"/>
      <c r="B46" s="44" t="s">
        <v>117</v>
      </c>
      <c r="C46" s="32"/>
      <c r="D46" s="32" t="s">
        <v>118</v>
      </c>
      <c r="E46" s="32" t="s">
        <v>119</v>
      </c>
      <c r="F46" s="40" t="s">
        <v>120</v>
      </c>
      <c r="G46" s="41"/>
      <c r="H46" s="34"/>
      <c r="I46" s="34"/>
      <c r="J46" s="29">
        <f t="shared" si="0"/>
        <v>0</v>
      </c>
      <c r="K46" s="41"/>
      <c r="L46" s="34"/>
      <c r="M46" s="34"/>
      <c r="N46" s="29">
        <f t="shared" si="1"/>
        <v>0</v>
      </c>
      <c r="O46" s="29"/>
      <c r="P46" s="35">
        <f t="shared" si="6"/>
        <v>0</v>
      </c>
      <c r="Q46" s="35">
        <f t="shared" si="6"/>
        <v>0</v>
      </c>
      <c r="R46" s="29">
        <f t="shared" si="2"/>
        <v>0</v>
      </c>
      <c r="S46" s="35">
        <f t="shared" si="5"/>
        <v>0</v>
      </c>
      <c r="T46" s="35">
        <f t="shared" si="5"/>
        <v>0</v>
      </c>
      <c r="U46" s="35">
        <f t="shared" si="5"/>
        <v>0</v>
      </c>
      <c r="V46" s="29">
        <f t="shared" si="3"/>
        <v>0</v>
      </c>
    </row>
    <row r="47" spans="1:22" s="18" customFormat="1" ht="30" hidden="1" x14ac:dyDescent="0.2">
      <c r="A47" s="36"/>
      <c r="B47" s="44" t="s">
        <v>121</v>
      </c>
      <c r="C47" s="32"/>
      <c r="D47" s="32" t="s">
        <v>122</v>
      </c>
      <c r="E47" s="32" t="s">
        <v>119</v>
      </c>
      <c r="F47" s="40" t="s">
        <v>123</v>
      </c>
      <c r="G47" s="41"/>
      <c r="H47" s="34"/>
      <c r="I47" s="34"/>
      <c r="J47" s="29">
        <f t="shared" si="0"/>
        <v>0</v>
      </c>
      <c r="K47" s="41"/>
      <c r="L47" s="34"/>
      <c r="M47" s="34"/>
      <c r="N47" s="29">
        <f t="shared" si="1"/>
        <v>0</v>
      </c>
      <c r="O47" s="29"/>
      <c r="P47" s="35">
        <f t="shared" si="6"/>
        <v>0</v>
      </c>
      <c r="Q47" s="35">
        <f t="shared" si="6"/>
        <v>0</v>
      </c>
      <c r="R47" s="29">
        <f t="shared" si="2"/>
        <v>0</v>
      </c>
      <c r="S47" s="35">
        <f t="shared" si="5"/>
        <v>0</v>
      </c>
      <c r="T47" s="35">
        <f t="shared" si="5"/>
        <v>0</v>
      </c>
      <c r="U47" s="35">
        <f t="shared" si="5"/>
        <v>0</v>
      </c>
      <c r="V47" s="29">
        <f t="shared" si="3"/>
        <v>0</v>
      </c>
    </row>
    <row r="48" spans="1:22" s="18" customFormat="1" ht="45" hidden="1" x14ac:dyDescent="0.2">
      <c r="A48" s="36"/>
      <c r="B48" s="44" t="s">
        <v>124</v>
      </c>
      <c r="C48" s="32"/>
      <c r="D48" s="32" t="s">
        <v>125</v>
      </c>
      <c r="E48" s="32" t="s">
        <v>126</v>
      </c>
      <c r="F48" s="40" t="s">
        <v>127</v>
      </c>
      <c r="G48" s="41"/>
      <c r="H48" s="34"/>
      <c r="I48" s="34"/>
      <c r="J48" s="29">
        <f t="shared" si="0"/>
        <v>0</v>
      </c>
      <c r="K48" s="41"/>
      <c r="L48" s="34"/>
      <c r="M48" s="34"/>
      <c r="N48" s="29">
        <f t="shared" si="1"/>
        <v>0</v>
      </c>
      <c r="O48" s="29"/>
      <c r="P48" s="35">
        <f t="shared" si="6"/>
        <v>0</v>
      </c>
      <c r="Q48" s="35">
        <f t="shared" si="6"/>
        <v>0</v>
      </c>
      <c r="R48" s="29">
        <f t="shared" si="2"/>
        <v>0</v>
      </c>
      <c r="S48" s="35">
        <f t="shared" si="5"/>
        <v>0</v>
      </c>
      <c r="T48" s="35">
        <f t="shared" si="5"/>
        <v>0</v>
      </c>
      <c r="U48" s="35">
        <f t="shared" si="5"/>
        <v>0</v>
      </c>
      <c r="V48" s="29">
        <f t="shared" si="3"/>
        <v>0</v>
      </c>
    </row>
    <row r="49" spans="1:22" s="18" customFormat="1" ht="30" hidden="1" x14ac:dyDescent="0.2">
      <c r="A49" s="36"/>
      <c r="B49" s="44" t="s">
        <v>128</v>
      </c>
      <c r="C49" s="32"/>
      <c r="D49" s="32" t="s">
        <v>129</v>
      </c>
      <c r="E49" s="32" t="s">
        <v>130</v>
      </c>
      <c r="F49" s="40" t="s">
        <v>131</v>
      </c>
      <c r="G49" s="41"/>
      <c r="H49" s="34"/>
      <c r="I49" s="34"/>
      <c r="J49" s="29">
        <f t="shared" si="0"/>
        <v>0</v>
      </c>
      <c r="K49" s="41"/>
      <c r="L49" s="34"/>
      <c r="M49" s="34"/>
      <c r="N49" s="29">
        <f t="shared" si="1"/>
        <v>0</v>
      </c>
      <c r="O49" s="29"/>
      <c r="P49" s="35">
        <f t="shared" si="6"/>
        <v>0</v>
      </c>
      <c r="Q49" s="35">
        <f t="shared" si="6"/>
        <v>0</v>
      </c>
      <c r="R49" s="29">
        <f t="shared" si="2"/>
        <v>0</v>
      </c>
      <c r="S49" s="35">
        <f t="shared" si="5"/>
        <v>0</v>
      </c>
      <c r="T49" s="35">
        <f t="shared" si="5"/>
        <v>0</v>
      </c>
      <c r="U49" s="35">
        <f t="shared" si="5"/>
        <v>0</v>
      </c>
      <c r="V49" s="29">
        <f t="shared" si="3"/>
        <v>0</v>
      </c>
    </row>
    <row r="50" spans="1:22" s="18" customFormat="1" ht="30" hidden="1" x14ac:dyDescent="0.2">
      <c r="A50" s="36"/>
      <c r="B50" s="44" t="s">
        <v>132</v>
      </c>
      <c r="C50" s="32"/>
      <c r="D50" s="32" t="s">
        <v>133</v>
      </c>
      <c r="E50" s="32" t="s">
        <v>134</v>
      </c>
      <c r="F50" s="40" t="s">
        <v>135</v>
      </c>
      <c r="G50" s="41"/>
      <c r="H50" s="34"/>
      <c r="I50" s="34"/>
      <c r="J50" s="29">
        <f t="shared" si="0"/>
        <v>0</v>
      </c>
      <c r="K50" s="41"/>
      <c r="L50" s="34"/>
      <c r="M50" s="34"/>
      <c r="N50" s="29">
        <f t="shared" si="1"/>
        <v>0</v>
      </c>
      <c r="O50" s="29"/>
      <c r="P50" s="35">
        <f t="shared" si="6"/>
        <v>0</v>
      </c>
      <c r="Q50" s="35">
        <f t="shared" si="6"/>
        <v>0</v>
      </c>
      <c r="R50" s="29">
        <f t="shared" si="2"/>
        <v>0</v>
      </c>
      <c r="S50" s="35">
        <f t="shared" si="5"/>
        <v>0</v>
      </c>
      <c r="T50" s="35">
        <f t="shared" si="5"/>
        <v>0</v>
      </c>
      <c r="U50" s="35">
        <f t="shared" si="5"/>
        <v>0</v>
      </c>
      <c r="V50" s="29">
        <f t="shared" si="3"/>
        <v>0</v>
      </c>
    </row>
    <row r="51" spans="1:22" s="18" customFormat="1" ht="15" hidden="1" x14ac:dyDescent="0.2">
      <c r="A51" s="36"/>
      <c r="B51" s="44" t="s">
        <v>136</v>
      </c>
      <c r="C51" s="32"/>
      <c r="D51" s="32" t="s">
        <v>137</v>
      </c>
      <c r="E51" s="32" t="s">
        <v>138</v>
      </c>
      <c r="F51" s="40" t="s">
        <v>139</v>
      </c>
      <c r="G51" s="41"/>
      <c r="H51" s="34"/>
      <c r="I51" s="34"/>
      <c r="J51" s="29">
        <f t="shared" si="0"/>
        <v>0</v>
      </c>
      <c r="K51" s="41"/>
      <c r="L51" s="34"/>
      <c r="M51" s="34"/>
      <c r="N51" s="29">
        <f t="shared" si="1"/>
        <v>0</v>
      </c>
      <c r="O51" s="29"/>
      <c r="P51" s="35">
        <f t="shared" si="6"/>
        <v>0</v>
      </c>
      <c r="Q51" s="35">
        <f t="shared" si="6"/>
        <v>0</v>
      </c>
      <c r="R51" s="29">
        <f t="shared" si="2"/>
        <v>0</v>
      </c>
      <c r="S51" s="35">
        <f t="shared" si="5"/>
        <v>0</v>
      </c>
      <c r="T51" s="35">
        <f t="shared" si="5"/>
        <v>0</v>
      </c>
      <c r="U51" s="35">
        <f t="shared" si="5"/>
        <v>0</v>
      </c>
      <c r="V51" s="29">
        <f t="shared" si="3"/>
        <v>0</v>
      </c>
    </row>
    <row r="52" spans="1:22" s="18" customFormat="1" ht="15" hidden="1" x14ac:dyDescent="0.2">
      <c r="A52" s="36"/>
      <c r="B52" s="44" t="s">
        <v>140</v>
      </c>
      <c r="C52" s="32"/>
      <c r="D52" s="32" t="s">
        <v>141</v>
      </c>
      <c r="E52" s="32" t="s">
        <v>142</v>
      </c>
      <c r="F52" s="47" t="s">
        <v>143</v>
      </c>
      <c r="G52" s="41"/>
      <c r="H52" s="34"/>
      <c r="I52" s="34"/>
      <c r="J52" s="29">
        <f t="shared" si="0"/>
        <v>0</v>
      </c>
      <c r="K52" s="41"/>
      <c r="L52" s="34"/>
      <c r="M52" s="34"/>
      <c r="N52" s="29">
        <f t="shared" si="1"/>
        <v>0</v>
      </c>
      <c r="O52" s="29"/>
      <c r="P52" s="35">
        <f t="shared" si="6"/>
        <v>0</v>
      </c>
      <c r="Q52" s="35">
        <f t="shared" si="6"/>
        <v>0</v>
      </c>
      <c r="R52" s="29">
        <f t="shared" si="2"/>
        <v>0</v>
      </c>
      <c r="S52" s="35">
        <f t="shared" si="5"/>
        <v>0</v>
      </c>
      <c r="T52" s="35">
        <f t="shared" si="5"/>
        <v>0</v>
      </c>
      <c r="U52" s="35">
        <f t="shared" si="5"/>
        <v>0</v>
      </c>
      <c r="V52" s="29">
        <f t="shared" si="3"/>
        <v>0</v>
      </c>
    </row>
    <row r="53" spans="1:22" s="18" customFormat="1" ht="15" hidden="1" x14ac:dyDescent="0.2">
      <c r="A53" s="36"/>
      <c r="B53" s="44"/>
      <c r="C53" s="32"/>
      <c r="D53" s="32"/>
      <c r="E53" s="44"/>
      <c r="F53" s="48"/>
      <c r="G53" s="41"/>
      <c r="H53" s="41"/>
      <c r="I53" s="41"/>
      <c r="J53" s="29">
        <f t="shared" si="0"/>
        <v>0</v>
      </c>
      <c r="K53" s="41"/>
      <c r="L53" s="41"/>
      <c r="M53" s="41"/>
      <c r="N53" s="29">
        <f t="shared" si="1"/>
        <v>0</v>
      </c>
      <c r="O53" s="29"/>
      <c r="P53" s="35">
        <f t="shared" si="6"/>
        <v>0</v>
      </c>
      <c r="Q53" s="35">
        <f t="shared" si="6"/>
        <v>0</v>
      </c>
      <c r="R53" s="29">
        <f t="shared" si="2"/>
        <v>0</v>
      </c>
      <c r="S53" s="35">
        <f t="shared" si="5"/>
        <v>0</v>
      </c>
      <c r="T53" s="35">
        <f t="shared" si="5"/>
        <v>0</v>
      </c>
      <c r="U53" s="35">
        <f t="shared" si="5"/>
        <v>0</v>
      </c>
      <c r="V53" s="29">
        <f t="shared" si="3"/>
        <v>0</v>
      </c>
    </row>
    <row r="54" spans="1:22" s="18" customFormat="1" ht="30" hidden="1" x14ac:dyDescent="0.2">
      <c r="A54" s="36"/>
      <c r="B54" s="44" t="s">
        <v>144</v>
      </c>
      <c r="C54" s="32"/>
      <c r="D54" s="32" t="s">
        <v>145</v>
      </c>
      <c r="E54" s="32" t="s">
        <v>146</v>
      </c>
      <c r="F54" s="40" t="s">
        <v>147</v>
      </c>
      <c r="G54" s="41"/>
      <c r="H54" s="34"/>
      <c r="I54" s="34"/>
      <c r="J54" s="29">
        <f t="shared" si="0"/>
        <v>0</v>
      </c>
      <c r="K54" s="41"/>
      <c r="L54" s="34"/>
      <c r="M54" s="34"/>
      <c r="N54" s="29">
        <f t="shared" si="1"/>
        <v>0</v>
      </c>
      <c r="O54" s="29"/>
      <c r="P54" s="35">
        <f t="shared" si="6"/>
        <v>0</v>
      </c>
      <c r="Q54" s="35">
        <f t="shared" si="6"/>
        <v>0</v>
      </c>
      <c r="R54" s="29">
        <f t="shared" si="2"/>
        <v>0</v>
      </c>
      <c r="S54" s="35">
        <f t="shared" si="5"/>
        <v>0</v>
      </c>
      <c r="T54" s="35">
        <f t="shared" si="5"/>
        <v>0</v>
      </c>
      <c r="U54" s="35">
        <f t="shared" si="5"/>
        <v>0</v>
      </c>
      <c r="V54" s="29">
        <f t="shared" si="3"/>
        <v>0</v>
      </c>
    </row>
    <row r="55" spans="1:22" s="18" customFormat="1" ht="15" hidden="1" customHeight="1" x14ac:dyDescent="0.2">
      <c r="A55" s="36"/>
      <c r="B55" s="44" t="s">
        <v>148</v>
      </c>
      <c r="C55" s="32"/>
      <c r="D55" s="32" t="s">
        <v>149</v>
      </c>
      <c r="E55" s="32" t="s">
        <v>149</v>
      </c>
      <c r="F55" s="40" t="s">
        <v>150</v>
      </c>
      <c r="G55" s="41"/>
      <c r="H55" s="34"/>
      <c r="I55" s="34"/>
      <c r="J55" s="29">
        <f t="shared" si="0"/>
        <v>0</v>
      </c>
      <c r="K55" s="41"/>
      <c r="L55" s="34"/>
      <c r="M55" s="34"/>
      <c r="N55" s="29">
        <f t="shared" si="1"/>
        <v>0</v>
      </c>
      <c r="O55" s="29"/>
      <c r="P55" s="35">
        <f t="shared" si="6"/>
        <v>0</v>
      </c>
      <c r="Q55" s="35">
        <f t="shared" si="6"/>
        <v>0</v>
      </c>
      <c r="R55" s="29">
        <f t="shared" si="2"/>
        <v>0</v>
      </c>
      <c r="S55" s="35">
        <f t="shared" si="5"/>
        <v>0</v>
      </c>
      <c r="T55" s="35">
        <f t="shared" si="5"/>
        <v>0</v>
      </c>
      <c r="U55" s="35">
        <f t="shared" si="5"/>
        <v>0</v>
      </c>
      <c r="V55" s="29">
        <f t="shared" si="3"/>
        <v>0</v>
      </c>
    </row>
    <row r="56" spans="1:22" s="18" customFormat="1" ht="15" hidden="1" x14ac:dyDescent="0.2">
      <c r="A56" s="36"/>
      <c r="B56" s="44" t="s">
        <v>151</v>
      </c>
      <c r="C56" s="32"/>
      <c r="D56" s="32" t="s">
        <v>51</v>
      </c>
      <c r="E56" s="32" t="s">
        <v>51</v>
      </c>
      <c r="F56" s="40" t="s">
        <v>152</v>
      </c>
      <c r="G56" s="38"/>
      <c r="H56" s="38"/>
      <c r="I56" s="38"/>
      <c r="J56" s="29">
        <f t="shared" si="0"/>
        <v>0</v>
      </c>
      <c r="K56" s="41"/>
      <c r="L56" s="38"/>
      <c r="M56" s="38"/>
      <c r="N56" s="29">
        <f t="shared" si="1"/>
        <v>0</v>
      </c>
      <c r="O56" s="49"/>
      <c r="P56" s="35">
        <f t="shared" si="6"/>
        <v>0</v>
      </c>
      <c r="Q56" s="35">
        <f t="shared" si="6"/>
        <v>0</v>
      </c>
      <c r="R56" s="29">
        <f t="shared" si="2"/>
        <v>0</v>
      </c>
      <c r="S56" s="35">
        <f t="shared" si="5"/>
        <v>0</v>
      </c>
      <c r="T56" s="35">
        <f t="shared" si="5"/>
        <v>0</v>
      </c>
      <c r="U56" s="35">
        <f t="shared" si="5"/>
        <v>0</v>
      </c>
      <c r="V56" s="29">
        <f t="shared" si="3"/>
        <v>0</v>
      </c>
    </row>
    <row r="57" spans="1:22" s="18" customFormat="1" ht="60" hidden="1" x14ac:dyDescent="0.2">
      <c r="A57" s="36"/>
      <c r="B57" s="44" t="s">
        <v>153</v>
      </c>
      <c r="C57" s="32"/>
      <c r="D57" s="32" t="s">
        <v>154</v>
      </c>
      <c r="E57" s="32" t="s">
        <v>154</v>
      </c>
      <c r="F57" s="40" t="s">
        <v>155</v>
      </c>
      <c r="G57" s="41"/>
      <c r="H57" s="50"/>
      <c r="I57" s="50"/>
      <c r="J57" s="29">
        <f t="shared" si="0"/>
        <v>0</v>
      </c>
      <c r="K57" s="41"/>
      <c r="L57" s="50"/>
      <c r="M57" s="50"/>
      <c r="N57" s="29">
        <f t="shared" si="1"/>
        <v>0</v>
      </c>
      <c r="O57" s="29"/>
      <c r="P57" s="35">
        <f t="shared" si="6"/>
        <v>0</v>
      </c>
      <c r="Q57" s="35">
        <f t="shared" si="6"/>
        <v>0</v>
      </c>
      <c r="R57" s="29">
        <f t="shared" si="2"/>
        <v>0</v>
      </c>
      <c r="S57" s="35">
        <f t="shared" si="5"/>
        <v>0</v>
      </c>
      <c r="T57" s="35">
        <f t="shared" si="5"/>
        <v>0</v>
      </c>
      <c r="U57" s="35">
        <f t="shared" si="5"/>
        <v>0</v>
      </c>
      <c r="V57" s="29">
        <f t="shared" si="3"/>
        <v>0</v>
      </c>
    </row>
    <row r="58" spans="1:22" s="18" customFormat="1" ht="30" hidden="1" x14ac:dyDescent="0.2">
      <c r="A58" s="36"/>
      <c r="B58" s="44"/>
      <c r="C58" s="32"/>
      <c r="D58" s="32"/>
      <c r="E58" s="32"/>
      <c r="F58" s="40" t="s">
        <v>156</v>
      </c>
      <c r="G58" s="41"/>
      <c r="H58" s="50"/>
      <c r="I58" s="50"/>
      <c r="J58" s="29">
        <f t="shared" si="0"/>
        <v>0</v>
      </c>
      <c r="K58" s="41"/>
      <c r="L58" s="50"/>
      <c r="M58" s="50"/>
      <c r="N58" s="29">
        <f t="shared" si="1"/>
        <v>0</v>
      </c>
      <c r="O58" s="29"/>
      <c r="P58" s="35">
        <f t="shared" si="6"/>
        <v>0</v>
      </c>
      <c r="Q58" s="35">
        <f t="shared" si="6"/>
        <v>0</v>
      </c>
      <c r="R58" s="29">
        <f t="shared" si="2"/>
        <v>0</v>
      </c>
      <c r="S58" s="35">
        <f t="shared" si="5"/>
        <v>0</v>
      </c>
      <c r="T58" s="35">
        <f t="shared" si="5"/>
        <v>0</v>
      </c>
      <c r="U58" s="35">
        <f t="shared" si="5"/>
        <v>0</v>
      </c>
      <c r="V58" s="29">
        <f t="shared" si="3"/>
        <v>0</v>
      </c>
    </row>
    <row r="59" spans="1:22" s="18" customFormat="1" ht="15" hidden="1" customHeight="1" x14ac:dyDescent="0.2">
      <c r="A59" s="36"/>
      <c r="B59" s="51" t="s">
        <v>43</v>
      </c>
      <c r="C59" s="32"/>
      <c r="D59" s="32"/>
      <c r="E59" s="32"/>
      <c r="F59" s="454" t="s">
        <v>157</v>
      </c>
      <c r="G59" s="41"/>
      <c r="H59" s="34"/>
      <c r="I59" s="34"/>
      <c r="J59" s="29">
        <f t="shared" si="0"/>
        <v>0</v>
      </c>
      <c r="K59" s="41"/>
      <c r="L59" s="34"/>
      <c r="M59" s="34"/>
      <c r="N59" s="29">
        <f t="shared" si="1"/>
        <v>0</v>
      </c>
      <c r="O59" s="29"/>
      <c r="P59" s="35">
        <f t="shared" si="6"/>
        <v>0</v>
      </c>
      <c r="Q59" s="35">
        <f t="shared" si="6"/>
        <v>0</v>
      </c>
      <c r="R59" s="29">
        <f t="shared" si="2"/>
        <v>0</v>
      </c>
      <c r="S59" s="35">
        <f t="shared" si="5"/>
        <v>0</v>
      </c>
      <c r="T59" s="35">
        <f t="shared" si="5"/>
        <v>0</v>
      </c>
      <c r="U59" s="35">
        <f t="shared" si="5"/>
        <v>0</v>
      </c>
      <c r="V59" s="29">
        <f t="shared" si="3"/>
        <v>0</v>
      </c>
    </row>
    <row r="60" spans="1:22" s="18" customFormat="1" ht="15" hidden="1" customHeight="1" x14ac:dyDescent="0.2">
      <c r="A60" s="36"/>
      <c r="B60" s="51" t="s">
        <v>158</v>
      </c>
      <c r="C60" s="32"/>
      <c r="D60" s="32"/>
      <c r="E60" s="32"/>
      <c r="F60" s="455"/>
      <c r="G60" s="41"/>
      <c r="H60" s="34"/>
      <c r="I60" s="34"/>
      <c r="J60" s="29">
        <f t="shared" si="0"/>
        <v>0</v>
      </c>
      <c r="K60" s="41"/>
      <c r="L60" s="34"/>
      <c r="M60" s="34"/>
      <c r="N60" s="29">
        <f t="shared" si="1"/>
        <v>0</v>
      </c>
      <c r="O60" s="29"/>
      <c r="P60" s="35">
        <f t="shared" si="6"/>
        <v>0</v>
      </c>
      <c r="Q60" s="35">
        <f t="shared" si="6"/>
        <v>0</v>
      </c>
      <c r="R60" s="29">
        <f t="shared" si="2"/>
        <v>0</v>
      </c>
      <c r="S60" s="35">
        <f t="shared" si="5"/>
        <v>0</v>
      </c>
      <c r="T60" s="35">
        <f t="shared" si="5"/>
        <v>0</v>
      </c>
      <c r="U60" s="35">
        <f t="shared" si="5"/>
        <v>0</v>
      </c>
      <c r="V60" s="29">
        <f t="shared" si="3"/>
        <v>0</v>
      </c>
    </row>
    <row r="61" spans="1:22" s="18" customFormat="1" ht="15" hidden="1" customHeight="1" x14ac:dyDescent="0.2">
      <c r="A61" s="36"/>
      <c r="B61" s="51"/>
      <c r="C61" s="32"/>
      <c r="D61" s="32"/>
      <c r="E61" s="32"/>
      <c r="F61" s="455"/>
      <c r="G61" s="41"/>
      <c r="H61" s="34"/>
      <c r="I61" s="34"/>
      <c r="J61" s="29">
        <f t="shared" si="0"/>
        <v>0</v>
      </c>
      <c r="K61" s="41"/>
      <c r="L61" s="34"/>
      <c r="M61" s="34"/>
      <c r="N61" s="29">
        <f t="shared" si="1"/>
        <v>0</v>
      </c>
      <c r="O61" s="29"/>
      <c r="P61" s="35">
        <f t="shared" si="6"/>
        <v>0</v>
      </c>
      <c r="Q61" s="35">
        <f t="shared" si="6"/>
        <v>0</v>
      </c>
      <c r="R61" s="29">
        <f t="shared" si="2"/>
        <v>0</v>
      </c>
      <c r="S61" s="35">
        <f t="shared" si="5"/>
        <v>0</v>
      </c>
      <c r="T61" s="35">
        <f t="shared" si="5"/>
        <v>0</v>
      </c>
      <c r="U61" s="35">
        <f t="shared" si="5"/>
        <v>0</v>
      </c>
      <c r="V61" s="29">
        <f t="shared" si="3"/>
        <v>0</v>
      </c>
    </row>
    <row r="62" spans="1:22" s="18" customFormat="1" ht="15" hidden="1" customHeight="1" x14ac:dyDescent="0.2">
      <c r="A62" s="36"/>
      <c r="B62" s="51"/>
      <c r="C62" s="32"/>
      <c r="D62" s="32"/>
      <c r="E62" s="32"/>
      <c r="F62" s="455"/>
      <c r="G62" s="41"/>
      <c r="H62" s="34"/>
      <c r="I62" s="34"/>
      <c r="J62" s="29">
        <f t="shared" si="0"/>
        <v>0</v>
      </c>
      <c r="K62" s="41"/>
      <c r="L62" s="34"/>
      <c r="M62" s="34"/>
      <c r="N62" s="29">
        <f t="shared" si="1"/>
        <v>0</v>
      </c>
      <c r="O62" s="29"/>
      <c r="P62" s="35">
        <f t="shared" si="6"/>
        <v>0</v>
      </c>
      <c r="Q62" s="35">
        <f t="shared" si="6"/>
        <v>0</v>
      </c>
      <c r="R62" s="29">
        <f t="shared" si="2"/>
        <v>0</v>
      </c>
      <c r="S62" s="35">
        <f t="shared" si="5"/>
        <v>0</v>
      </c>
      <c r="T62" s="35">
        <f t="shared" si="5"/>
        <v>0</v>
      </c>
      <c r="U62" s="35">
        <f t="shared" si="5"/>
        <v>0</v>
      </c>
      <c r="V62" s="29">
        <f t="shared" si="3"/>
        <v>0</v>
      </c>
    </row>
    <row r="63" spans="1:22" s="18" customFormat="1" ht="15" hidden="1" customHeight="1" x14ac:dyDescent="0.2">
      <c r="A63" s="36"/>
      <c r="B63" s="51"/>
      <c r="C63" s="32"/>
      <c r="D63" s="32"/>
      <c r="E63" s="32"/>
      <c r="F63" s="456"/>
      <c r="G63" s="41"/>
      <c r="H63" s="34"/>
      <c r="I63" s="34"/>
      <c r="J63" s="29">
        <f t="shared" si="0"/>
        <v>0</v>
      </c>
      <c r="K63" s="41"/>
      <c r="L63" s="34"/>
      <c r="M63" s="34"/>
      <c r="N63" s="29">
        <f t="shared" si="1"/>
        <v>0</v>
      </c>
      <c r="O63" s="29"/>
      <c r="P63" s="35">
        <f t="shared" si="6"/>
        <v>0</v>
      </c>
      <c r="Q63" s="35">
        <f t="shared" si="6"/>
        <v>0</v>
      </c>
      <c r="R63" s="29">
        <f t="shared" si="2"/>
        <v>0</v>
      </c>
      <c r="S63" s="35">
        <f t="shared" si="5"/>
        <v>0</v>
      </c>
      <c r="T63" s="35">
        <f t="shared" si="5"/>
        <v>0</v>
      </c>
      <c r="U63" s="35">
        <f t="shared" si="5"/>
        <v>0</v>
      </c>
      <c r="V63" s="29">
        <f t="shared" si="3"/>
        <v>0</v>
      </c>
    </row>
    <row r="64" spans="1:22" s="18" customFormat="1" ht="15" hidden="1" x14ac:dyDescent="0.2">
      <c r="A64" s="36"/>
      <c r="B64" s="32" t="s">
        <v>159</v>
      </c>
      <c r="C64" s="32"/>
      <c r="D64" s="32" t="s">
        <v>154</v>
      </c>
      <c r="E64" s="32" t="s">
        <v>154</v>
      </c>
      <c r="F64" s="40" t="s">
        <v>0</v>
      </c>
      <c r="G64" s="41"/>
      <c r="H64" s="34"/>
      <c r="I64" s="34"/>
      <c r="J64" s="29">
        <f t="shared" si="0"/>
        <v>0</v>
      </c>
      <c r="K64" s="41"/>
      <c r="L64" s="34"/>
      <c r="M64" s="34"/>
      <c r="N64" s="29">
        <f t="shared" si="1"/>
        <v>0</v>
      </c>
      <c r="O64" s="29"/>
      <c r="P64" s="35">
        <f t="shared" si="6"/>
        <v>0</v>
      </c>
      <c r="Q64" s="35">
        <f t="shared" si="6"/>
        <v>0</v>
      </c>
      <c r="R64" s="29">
        <f t="shared" si="2"/>
        <v>0</v>
      </c>
      <c r="S64" s="35">
        <f t="shared" si="5"/>
        <v>0</v>
      </c>
      <c r="T64" s="35">
        <f t="shared" si="5"/>
        <v>0</v>
      </c>
      <c r="U64" s="35">
        <f t="shared" si="5"/>
        <v>0</v>
      </c>
      <c r="V64" s="29">
        <f t="shared" si="3"/>
        <v>0</v>
      </c>
    </row>
    <row r="65" spans="1:22" s="18" customFormat="1" ht="15" hidden="1" x14ac:dyDescent="0.2">
      <c r="A65" s="36"/>
      <c r="B65" s="31" t="s">
        <v>160</v>
      </c>
      <c r="C65" s="32"/>
      <c r="D65" s="32"/>
      <c r="E65" s="32"/>
      <c r="F65" s="52" t="s">
        <v>161</v>
      </c>
      <c r="G65" s="41"/>
      <c r="H65" s="41"/>
      <c r="I65" s="41"/>
      <c r="J65" s="29">
        <f t="shared" si="0"/>
        <v>0</v>
      </c>
      <c r="K65" s="41"/>
      <c r="L65" s="41"/>
      <c r="M65" s="41"/>
      <c r="N65" s="29">
        <f t="shared" si="1"/>
        <v>0</v>
      </c>
      <c r="O65" s="29"/>
      <c r="P65" s="35">
        <f t="shared" si="6"/>
        <v>0</v>
      </c>
      <c r="Q65" s="35">
        <f t="shared" si="6"/>
        <v>0</v>
      </c>
      <c r="R65" s="29">
        <f t="shared" si="2"/>
        <v>0</v>
      </c>
      <c r="S65" s="35">
        <f t="shared" si="5"/>
        <v>0</v>
      </c>
      <c r="T65" s="35">
        <f t="shared" si="5"/>
        <v>0</v>
      </c>
      <c r="U65" s="35">
        <f t="shared" si="5"/>
        <v>0</v>
      </c>
      <c r="V65" s="29">
        <f t="shared" si="3"/>
        <v>0</v>
      </c>
    </row>
    <row r="66" spans="1:22" s="18" customFormat="1" ht="15" hidden="1" x14ac:dyDescent="0.2">
      <c r="A66" s="36"/>
      <c r="B66" s="31" t="s">
        <v>162</v>
      </c>
      <c r="C66" s="32"/>
      <c r="D66" s="32"/>
      <c r="E66" s="32"/>
      <c r="F66" s="52" t="s">
        <v>161</v>
      </c>
      <c r="G66" s="41"/>
      <c r="H66" s="41"/>
      <c r="I66" s="41"/>
      <c r="J66" s="29">
        <f t="shared" si="0"/>
        <v>0</v>
      </c>
      <c r="K66" s="41"/>
      <c r="L66" s="41"/>
      <c r="M66" s="41"/>
      <c r="N66" s="29">
        <f t="shared" si="1"/>
        <v>0</v>
      </c>
      <c r="O66" s="29"/>
      <c r="P66" s="35">
        <f t="shared" si="6"/>
        <v>0</v>
      </c>
      <c r="Q66" s="35">
        <f t="shared" si="6"/>
        <v>0</v>
      </c>
      <c r="R66" s="29">
        <f t="shared" si="2"/>
        <v>0</v>
      </c>
      <c r="S66" s="35">
        <f t="shared" si="5"/>
        <v>0</v>
      </c>
      <c r="T66" s="35">
        <f t="shared" si="5"/>
        <v>0</v>
      </c>
      <c r="U66" s="35">
        <f t="shared" si="5"/>
        <v>0</v>
      </c>
      <c r="V66" s="29">
        <f t="shared" si="3"/>
        <v>0</v>
      </c>
    </row>
    <row r="67" spans="1:22" s="18" customFormat="1" ht="30" hidden="1" x14ac:dyDescent="0.2">
      <c r="A67" s="36"/>
      <c r="B67" s="31"/>
      <c r="C67" s="32"/>
      <c r="D67" s="32"/>
      <c r="E67" s="32"/>
      <c r="F67" s="40" t="s">
        <v>156</v>
      </c>
      <c r="G67" s="41"/>
      <c r="H67" s="53"/>
      <c r="I67" s="53"/>
      <c r="J67" s="29">
        <f t="shared" si="0"/>
        <v>0</v>
      </c>
      <c r="K67" s="41"/>
      <c r="L67" s="53"/>
      <c r="M67" s="53"/>
      <c r="N67" s="29">
        <f t="shared" si="1"/>
        <v>0</v>
      </c>
      <c r="O67" s="29"/>
      <c r="P67" s="35">
        <f t="shared" si="6"/>
        <v>0</v>
      </c>
      <c r="Q67" s="35">
        <f t="shared" si="6"/>
        <v>0</v>
      </c>
      <c r="R67" s="29">
        <f t="shared" si="2"/>
        <v>0</v>
      </c>
      <c r="S67" s="35">
        <f t="shared" si="5"/>
        <v>0</v>
      </c>
      <c r="T67" s="35">
        <f t="shared" si="5"/>
        <v>0</v>
      </c>
      <c r="U67" s="35">
        <f t="shared" si="5"/>
        <v>0</v>
      </c>
      <c r="V67" s="29">
        <f t="shared" si="3"/>
        <v>0</v>
      </c>
    </row>
    <row r="68" spans="1:22" s="18" customFormat="1" ht="60" hidden="1" x14ac:dyDescent="0.2">
      <c r="A68" s="36"/>
      <c r="B68" s="31"/>
      <c r="C68" s="32"/>
      <c r="D68" s="32"/>
      <c r="E68" s="32"/>
      <c r="F68" s="40" t="s">
        <v>163</v>
      </c>
      <c r="G68" s="41"/>
      <c r="H68" s="41"/>
      <c r="I68" s="41"/>
      <c r="J68" s="29">
        <f t="shared" si="0"/>
        <v>0</v>
      </c>
      <c r="K68" s="41"/>
      <c r="L68" s="41"/>
      <c r="M68" s="41"/>
      <c r="N68" s="29">
        <f t="shared" si="1"/>
        <v>0</v>
      </c>
      <c r="O68" s="29"/>
      <c r="P68" s="35">
        <f t="shared" si="6"/>
        <v>0</v>
      </c>
      <c r="Q68" s="35">
        <f t="shared" si="6"/>
        <v>0</v>
      </c>
      <c r="R68" s="29">
        <f t="shared" si="2"/>
        <v>0</v>
      </c>
      <c r="S68" s="35">
        <f t="shared" si="5"/>
        <v>0</v>
      </c>
      <c r="T68" s="35">
        <f t="shared" si="5"/>
        <v>0</v>
      </c>
      <c r="U68" s="35">
        <f t="shared" si="5"/>
        <v>0</v>
      </c>
      <c r="V68" s="29">
        <f t="shared" si="3"/>
        <v>0</v>
      </c>
    </row>
    <row r="69" spans="1:22" s="18" customFormat="1" ht="75" hidden="1" x14ac:dyDescent="0.2">
      <c r="A69" s="36"/>
      <c r="B69" s="31"/>
      <c r="C69" s="32"/>
      <c r="D69" s="32"/>
      <c r="E69" s="32"/>
      <c r="F69" s="40" t="s">
        <v>164</v>
      </c>
      <c r="G69" s="41"/>
      <c r="H69" s="41"/>
      <c r="I69" s="41"/>
      <c r="J69" s="29">
        <f t="shared" si="0"/>
        <v>0</v>
      </c>
      <c r="K69" s="41"/>
      <c r="L69" s="41"/>
      <c r="M69" s="41"/>
      <c r="N69" s="29">
        <f t="shared" si="1"/>
        <v>0</v>
      </c>
      <c r="O69" s="29"/>
      <c r="P69" s="35">
        <f t="shared" si="6"/>
        <v>0</v>
      </c>
      <c r="Q69" s="35">
        <f t="shared" si="6"/>
        <v>0</v>
      </c>
      <c r="R69" s="29">
        <f t="shared" si="2"/>
        <v>0</v>
      </c>
      <c r="S69" s="35">
        <f t="shared" si="5"/>
        <v>0</v>
      </c>
      <c r="T69" s="35">
        <f t="shared" si="5"/>
        <v>0</v>
      </c>
      <c r="U69" s="35">
        <f t="shared" si="5"/>
        <v>0</v>
      </c>
      <c r="V69" s="29">
        <f t="shared" si="3"/>
        <v>0</v>
      </c>
    </row>
    <row r="70" spans="1:22" s="18" customFormat="1" ht="15" hidden="1" x14ac:dyDescent="0.2">
      <c r="A70" s="36"/>
      <c r="B70" s="32" t="s">
        <v>165</v>
      </c>
      <c r="C70" s="32"/>
      <c r="D70" s="44" t="s">
        <v>166</v>
      </c>
      <c r="E70" s="44" t="s">
        <v>167</v>
      </c>
      <c r="F70" s="40" t="s">
        <v>168</v>
      </c>
      <c r="G70" s="41"/>
      <c r="H70" s="34"/>
      <c r="I70" s="34"/>
      <c r="J70" s="29">
        <f t="shared" si="0"/>
        <v>0</v>
      </c>
      <c r="K70" s="41"/>
      <c r="L70" s="34"/>
      <c r="M70" s="34"/>
      <c r="N70" s="29">
        <f t="shared" si="1"/>
        <v>0</v>
      </c>
      <c r="O70" s="29"/>
      <c r="P70" s="35">
        <f t="shared" si="6"/>
        <v>0</v>
      </c>
      <c r="Q70" s="35">
        <f t="shared" si="6"/>
        <v>0</v>
      </c>
      <c r="R70" s="29">
        <f t="shared" si="2"/>
        <v>0</v>
      </c>
      <c r="S70" s="35">
        <f t="shared" si="5"/>
        <v>0</v>
      </c>
      <c r="T70" s="35">
        <f t="shared" si="5"/>
        <v>0</v>
      </c>
      <c r="U70" s="35">
        <f t="shared" si="5"/>
        <v>0</v>
      </c>
      <c r="V70" s="29">
        <f t="shared" si="3"/>
        <v>0</v>
      </c>
    </row>
    <row r="71" spans="1:22" s="18" customFormat="1" ht="75" hidden="1" x14ac:dyDescent="0.2">
      <c r="A71" s="36"/>
      <c r="B71" s="44" t="s">
        <v>169</v>
      </c>
      <c r="C71" s="44"/>
      <c r="D71" s="44" t="s">
        <v>58</v>
      </c>
      <c r="E71" s="44" t="s">
        <v>170</v>
      </c>
      <c r="F71" s="40" t="s">
        <v>171</v>
      </c>
      <c r="G71" s="41"/>
      <c r="H71" s="34"/>
      <c r="I71" s="34"/>
      <c r="J71" s="29">
        <f t="shared" si="0"/>
        <v>0</v>
      </c>
      <c r="K71" s="41"/>
      <c r="L71" s="34"/>
      <c r="M71" s="34"/>
      <c r="N71" s="29">
        <f t="shared" si="1"/>
        <v>0</v>
      </c>
      <c r="O71" s="29"/>
      <c r="P71" s="35">
        <f t="shared" si="6"/>
        <v>0</v>
      </c>
      <c r="Q71" s="35">
        <f t="shared" si="6"/>
        <v>0</v>
      </c>
      <c r="R71" s="29">
        <f t="shared" si="2"/>
        <v>0</v>
      </c>
      <c r="S71" s="35">
        <f t="shared" si="5"/>
        <v>0</v>
      </c>
      <c r="T71" s="35">
        <f t="shared" si="5"/>
        <v>0</v>
      </c>
      <c r="U71" s="35">
        <f t="shared" si="5"/>
        <v>0</v>
      </c>
      <c r="V71" s="29">
        <f t="shared" si="3"/>
        <v>0</v>
      </c>
    </row>
    <row r="72" spans="1:22" s="18" customFormat="1" ht="30" hidden="1" x14ac:dyDescent="0.2">
      <c r="A72" s="36"/>
      <c r="B72" s="44"/>
      <c r="C72" s="44"/>
      <c r="D72" s="44"/>
      <c r="E72" s="44"/>
      <c r="F72" s="40" t="s">
        <v>156</v>
      </c>
      <c r="G72" s="41"/>
      <c r="H72" s="54"/>
      <c r="I72" s="54"/>
      <c r="J72" s="29">
        <f t="shared" si="0"/>
        <v>0</v>
      </c>
      <c r="K72" s="41"/>
      <c r="L72" s="54"/>
      <c r="M72" s="54"/>
      <c r="N72" s="29">
        <f t="shared" si="1"/>
        <v>0</v>
      </c>
      <c r="O72" s="29"/>
      <c r="P72" s="35">
        <f t="shared" si="6"/>
        <v>0</v>
      </c>
      <c r="Q72" s="35">
        <f t="shared" si="6"/>
        <v>0</v>
      </c>
      <c r="R72" s="29">
        <f t="shared" si="2"/>
        <v>0</v>
      </c>
      <c r="S72" s="35">
        <f t="shared" si="5"/>
        <v>0</v>
      </c>
      <c r="T72" s="35">
        <f t="shared" si="5"/>
        <v>0</v>
      </c>
      <c r="U72" s="35">
        <f t="shared" si="5"/>
        <v>0</v>
      </c>
      <c r="V72" s="29">
        <f t="shared" si="3"/>
        <v>0</v>
      </c>
    </row>
    <row r="73" spans="1:22" s="18" customFormat="1" ht="75" hidden="1" x14ac:dyDescent="0.2">
      <c r="A73" s="36"/>
      <c r="B73" s="44"/>
      <c r="C73" s="44"/>
      <c r="D73" s="44"/>
      <c r="E73" s="44"/>
      <c r="F73" s="40" t="s">
        <v>164</v>
      </c>
      <c r="G73" s="41"/>
      <c r="H73" s="54"/>
      <c r="I73" s="54"/>
      <c r="J73" s="29">
        <f t="shared" si="0"/>
        <v>0</v>
      </c>
      <c r="K73" s="41"/>
      <c r="L73" s="54"/>
      <c r="M73" s="54"/>
      <c r="N73" s="29">
        <f t="shared" si="1"/>
        <v>0</v>
      </c>
      <c r="O73" s="29"/>
      <c r="P73" s="35">
        <f t="shared" si="6"/>
        <v>0</v>
      </c>
      <c r="Q73" s="35">
        <f t="shared" si="6"/>
        <v>0</v>
      </c>
      <c r="R73" s="29">
        <f t="shared" si="2"/>
        <v>0</v>
      </c>
      <c r="S73" s="35">
        <f t="shared" si="5"/>
        <v>0</v>
      </c>
      <c r="T73" s="35">
        <f t="shared" si="5"/>
        <v>0</v>
      </c>
      <c r="U73" s="35">
        <f t="shared" si="5"/>
        <v>0</v>
      </c>
      <c r="V73" s="29">
        <f t="shared" si="3"/>
        <v>0</v>
      </c>
    </row>
    <row r="74" spans="1:22" s="18" customFormat="1" ht="45" hidden="1" x14ac:dyDescent="0.2">
      <c r="A74" s="36"/>
      <c r="B74" s="44" t="s">
        <v>172</v>
      </c>
      <c r="C74" s="44"/>
      <c r="D74" s="44" t="s">
        <v>83</v>
      </c>
      <c r="E74" s="44" t="s">
        <v>173</v>
      </c>
      <c r="F74" s="40" t="s">
        <v>174</v>
      </c>
      <c r="G74" s="41"/>
      <c r="H74" s="34"/>
      <c r="I74" s="34"/>
      <c r="J74" s="29">
        <f t="shared" si="0"/>
        <v>0</v>
      </c>
      <c r="K74" s="41"/>
      <c r="L74" s="34"/>
      <c r="M74" s="34"/>
      <c r="N74" s="29">
        <f t="shared" si="1"/>
        <v>0</v>
      </c>
      <c r="O74" s="29"/>
      <c r="P74" s="35">
        <f t="shared" si="6"/>
        <v>0</v>
      </c>
      <c r="Q74" s="35">
        <f t="shared" si="6"/>
        <v>0</v>
      </c>
      <c r="R74" s="29">
        <f t="shared" si="2"/>
        <v>0</v>
      </c>
      <c r="S74" s="35">
        <f t="shared" si="5"/>
        <v>0</v>
      </c>
      <c r="T74" s="35">
        <f t="shared" si="5"/>
        <v>0</v>
      </c>
      <c r="U74" s="35">
        <f t="shared" si="5"/>
        <v>0</v>
      </c>
      <c r="V74" s="29">
        <f t="shared" si="3"/>
        <v>0</v>
      </c>
    </row>
    <row r="75" spans="1:22" s="18" customFormat="1" ht="30" hidden="1" x14ac:dyDescent="0.2">
      <c r="A75" s="36"/>
      <c r="B75" s="44" t="s">
        <v>175</v>
      </c>
      <c r="C75" s="44"/>
      <c r="D75" s="44" t="s">
        <v>176</v>
      </c>
      <c r="E75" s="44" t="s">
        <v>54</v>
      </c>
      <c r="F75" s="40" t="s">
        <v>177</v>
      </c>
      <c r="G75" s="41"/>
      <c r="H75" s="34"/>
      <c r="I75" s="34"/>
      <c r="J75" s="29">
        <f t="shared" si="0"/>
        <v>0</v>
      </c>
      <c r="K75" s="41"/>
      <c r="L75" s="34"/>
      <c r="M75" s="34"/>
      <c r="N75" s="29">
        <f t="shared" si="1"/>
        <v>0</v>
      </c>
      <c r="O75" s="29"/>
      <c r="P75" s="35">
        <f t="shared" si="6"/>
        <v>0</v>
      </c>
      <c r="Q75" s="35">
        <f t="shared" si="6"/>
        <v>0</v>
      </c>
      <c r="R75" s="29">
        <f t="shared" si="2"/>
        <v>0</v>
      </c>
      <c r="S75" s="35">
        <f t="shared" si="5"/>
        <v>0</v>
      </c>
      <c r="T75" s="35">
        <f t="shared" si="5"/>
        <v>0</v>
      </c>
      <c r="U75" s="35">
        <f t="shared" si="5"/>
        <v>0</v>
      </c>
      <c r="V75" s="29">
        <f t="shared" si="3"/>
        <v>0</v>
      </c>
    </row>
    <row r="76" spans="1:22" s="18" customFormat="1" ht="30" hidden="1" x14ac:dyDescent="0.2">
      <c r="A76" s="36"/>
      <c r="B76" s="46" t="s">
        <v>178</v>
      </c>
      <c r="C76" s="44"/>
      <c r="D76" s="44"/>
      <c r="E76" s="44"/>
      <c r="F76" s="55" t="s">
        <v>55</v>
      </c>
      <c r="G76" s="43"/>
      <c r="H76" s="43"/>
      <c r="I76" s="43"/>
      <c r="J76" s="29">
        <f t="shared" ref="J76:J89" si="7">G76+H76</f>
        <v>0</v>
      </c>
      <c r="K76" s="41"/>
      <c r="L76" s="43"/>
      <c r="M76" s="43"/>
      <c r="N76" s="29">
        <f t="shared" ref="N76:N89" si="8">K76+L76</f>
        <v>0</v>
      </c>
      <c r="O76" s="56"/>
      <c r="P76" s="35">
        <f t="shared" si="6"/>
        <v>0</v>
      </c>
      <c r="Q76" s="35">
        <f t="shared" si="6"/>
        <v>0</v>
      </c>
      <c r="R76" s="29">
        <f t="shared" ref="R76:R89" si="9">O76+P76</f>
        <v>0</v>
      </c>
      <c r="S76" s="35">
        <f t="shared" ref="S76:U89" si="10">O76*105.1</f>
        <v>0</v>
      </c>
      <c r="T76" s="35">
        <f t="shared" si="10"/>
        <v>0</v>
      </c>
      <c r="U76" s="35">
        <f t="shared" si="10"/>
        <v>0</v>
      </c>
      <c r="V76" s="29">
        <f t="shared" ref="V76:V89" si="11">S76+T76</f>
        <v>0</v>
      </c>
    </row>
    <row r="77" spans="1:22" s="18" customFormat="1" ht="30" hidden="1" x14ac:dyDescent="0.2">
      <c r="A77" s="36"/>
      <c r="B77" s="46" t="s">
        <v>179</v>
      </c>
      <c r="C77" s="44"/>
      <c r="D77" s="44" t="s">
        <v>180</v>
      </c>
      <c r="E77" s="44" t="s">
        <v>54</v>
      </c>
      <c r="F77" s="55" t="s">
        <v>181</v>
      </c>
      <c r="G77" s="43"/>
      <c r="H77" s="38"/>
      <c r="I77" s="38"/>
      <c r="J77" s="29">
        <f t="shared" si="7"/>
        <v>0</v>
      </c>
      <c r="K77" s="41"/>
      <c r="L77" s="38"/>
      <c r="M77" s="38"/>
      <c r="N77" s="29">
        <f t="shared" si="8"/>
        <v>0</v>
      </c>
      <c r="O77" s="56"/>
      <c r="P77" s="35">
        <f t="shared" si="6"/>
        <v>0</v>
      </c>
      <c r="Q77" s="35">
        <f t="shared" si="6"/>
        <v>0</v>
      </c>
      <c r="R77" s="29">
        <f t="shared" si="9"/>
        <v>0</v>
      </c>
      <c r="S77" s="35">
        <f t="shared" si="10"/>
        <v>0</v>
      </c>
      <c r="T77" s="35">
        <f t="shared" si="10"/>
        <v>0</v>
      </c>
      <c r="U77" s="35">
        <f t="shared" si="10"/>
        <v>0</v>
      </c>
      <c r="V77" s="29">
        <f t="shared" si="11"/>
        <v>0</v>
      </c>
    </row>
    <row r="78" spans="1:22" s="18" customFormat="1" ht="60" hidden="1" x14ac:dyDescent="0.2">
      <c r="A78" s="36"/>
      <c r="B78" s="46"/>
      <c r="C78" s="44"/>
      <c r="D78" s="44"/>
      <c r="E78" s="44"/>
      <c r="F78" s="40" t="s">
        <v>163</v>
      </c>
      <c r="G78" s="43"/>
      <c r="H78" s="43"/>
      <c r="I78" s="43"/>
      <c r="J78" s="29">
        <f t="shared" si="7"/>
        <v>0</v>
      </c>
      <c r="K78" s="43"/>
      <c r="L78" s="43"/>
      <c r="M78" s="43"/>
      <c r="N78" s="29">
        <f t="shared" si="8"/>
        <v>0</v>
      </c>
      <c r="O78" s="56"/>
      <c r="P78" s="35">
        <f t="shared" si="6"/>
        <v>0</v>
      </c>
      <c r="Q78" s="35">
        <f t="shared" si="6"/>
        <v>0</v>
      </c>
      <c r="R78" s="29">
        <f t="shared" si="9"/>
        <v>0</v>
      </c>
      <c r="S78" s="35">
        <f t="shared" si="10"/>
        <v>0</v>
      </c>
      <c r="T78" s="35">
        <f t="shared" si="10"/>
        <v>0</v>
      </c>
      <c r="U78" s="35">
        <f t="shared" si="10"/>
        <v>0</v>
      </c>
      <c r="V78" s="29">
        <f t="shared" si="11"/>
        <v>0</v>
      </c>
    </row>
    <row r="79" spans="1:22" s="18" customFormat="1" ht="15" hidden="1" x14ac:dyDescent="0.2">
      <c r="A79" s="36"/>
      <c r="B79" s="46" t="s">
        <v>182</v>
      </c>
      <c r="C79" s="44"/>
      <c r="D79" s="44" t="s">
        <v>183</v>
      </c>
      <c r="E79" s="44" t="s">
        <v>54</v>
      </c>
      <c r="F79" s="55" t="s">
        <v>184</v>
      </c>
      <c r="G79" s="43"/>
      <c r="H79" s="38"/>
      <c r="I79" s="38"/>
      <c r="J79" s="29">
        <f t="shared" si="7"/>
        <v>0</v>
      </c>
      <c r="K79" s="43"/>
      <c r="L79" s="38"/>
      <c r="M79" s="38"/>
      <c r="N79" s="29">
        <f t="shared" si="8"/>
        <v>0</v>
      </c>
      <c r="O79" s="56"/>
      <c r="P79" s="35">
        <f t="shared" si="6"/>
        <v>0</v>
      </c>
      <c r="Q79" s="35">
        <f t="shared" si="6"/>
        <v>0</v>
      </c>
      <c r="R79" s="29">
        <f t="shared" si="9"/>
        <v>0</v>
      </c>
      <c r="S79" s="35">
        <f t="shared" si="10"/>
        <v>0</v>
      </c>
      <c r="T79" s="35">
        <f t="shared" si="10"/>
        <v>0</v>
      </c>
      <c r="U79" s="35">
        <f t="shared" si="10"/>
        <v>0</v>
      </c>
      <c r="V79" s="29">
        <f t="shared" si="11"/>
        <v>0</v>
      </c>
    </row>
    <row r="80" spans="1:22" s="18" customFormat="1" ht="75" hidden="1" x14ac:dyDescent="0.2">
      <c r="A80" s="36"/>
      <c r="B80" s="44" t="s">
        <v>185</v>
      </c>
      <c r="C80" s="44"/>
      <c r="D80" s="32" t="s">
        <v>71</v>
      </c>
      <c r="E80" s="32" t="s">
        <v>71</v>
      </c>
      <c r="F80" s="40" t="s">
        <v>72</v>
      </c>
      <c r="G80" s="41"/>
      <c r="H80" s="34"/>
      <c r="I80" s="34"/>
      <c r="J80" s="29">
        <f t="shared" si="7"/>
        <v>0</v>
      </c>
      <c r="K80" s="41"/>
      <c r="L80" s="34"/>
      <c r="M80" s="34"/>
      <c r="N80" s="29">
        <f t="shared" si="8"/>
        <v>0</v>
      </c>
      <c r="O80" s="29"/>
      <c r="P80" s="35">
        <f t="shared" si="6"/>
        <v>0</v>
      </c>
      <c r="Q80" s="35">
        <f t="shared" si="6"/>
        <v>0</v>
      </c>
      <c r="R80" s="29">
        <f t="shared" si="9"/>
        <v>0</v>
      </c>
      <c r="S80" s="35">
        <f t="shared" si="10"/>
        <v>0</v>
      </c>
      <c r="T80" s="35">
        <f t="shared" si="10"/>
        <v>0</v>
      </c>
      <c r="U80" s="35">
        <f t="shared" si="10"/>
        <v>0</v>
      </c>
      <c r="V80" s="29">
        <f t="shared" si="11"/>
        <v>0</v>
      </c>
    </row>
    <row r="81" spans="1:22" s="18" customFormat="1" ht="15" hidden="1" x14ac:dyDescent="0.2">
      <c r="A81" s="36"/>
      <c r="B81" s="31" t="s">
        <v>186</v>
      </c>
      <c r="C81" s="32"/>
      <c r="D81" s="32"/>
      <c r="E81" s="32"/>
      <c r="F81" s="52" t="s">
        <v>187</v>
      </c>
      <c r="G81" s="41"/>
      <c r="H81" s="41"/>
      <c r="I81" s="41"/>
      <c r="J81" s="29">
        <f t="shared" si="7"/>
        <v>0</v>
      </c>
      <c r="K81" s="41"/>
      <c r="L81" s="41"/>
      <c r="M81" s="41"/>
      <c r="N81" s="29">
        <f t="shared" si="8"/>
        <v>0</v>
      </c>
      <c r="O81" s="29"/>
      <c r="P81" s="35">
        <f t="shared" si="6"/>
        <v>0</v>
      </c>
      <c r="Q81" s="35">
        <f t="shared" si="6"/>
        <v>0</v>
      </c>
      <c r="R81" s="29">
        <f t="shared" si="9"/>
        <v>0</v>
      </c>
      <c r="S81" s="35">
        <f t="shared" si="10"/>
        <v>0</v>
      </c>
      <c r="T81" s="35">
        <f t="shared" si="10"/>
        <v>0</v>
      </c>
      <c r="U81" s="35">
        <f t="shared" si="10"/>
        <v>0</v>
      </c>
      <c r="V81" s="29">
        <f t="shared" si="11"/>
        <v>0</v>
      </c>
    </row>
    <row r="82" spans="1:22" s="18" customFormat="1" ht="15" hidden="1" x14ac:dyDescent="0.2">
      <c r="A82" s="36"/>
      <c r="B82" s="31" t="s">
        <v>188</v>
      </c>
      <c r="C82" s="32"/>
      <c r="D82" s="32"/>
      <c r="E82" s="32"/>
      <c r="F82" s="52" t="s">
        <v>187</v>
      </c>
      <c r="G82" s="41"/>
      <c r="H82" s="41"/>
      <c r="I82" s="41"/>
      <c r="J82" s="29">
        <f t="shared" si="7"/>
        <v>0</v>
      </c>
      <c r="K82" s="41"/>
      <c r="L82" s="41"/>
      <c r="M82" s="41"/>
      <c r="N82" s="29">
        <f t="shared" si="8"/>
        <v>0</v>
      </c>
      <c r="O82" s="29"/>
      <c r="P82" s="35">
        <f t="shared" si="6"/>
        <v>0</v>
      </c>
      <c r="Q82" s="35">
        <f t="shared" si="6"/>
        <v>0</v>
      </c>
      <c r="R82" s="29">
        <f t="shared" si="9"/>
        <v>0</v>
      </c>
      <c r="S82" s="35">
        <f t="shared" si="10"/>
        <v>0</v>
      </c>
      <c r="T82" s="35">
        <f t="shared" si="10"/>
        <v>0</v>
      </c>
      <c r="U82" s="35">
        <f t="shared" si="10"/>
        <v>0</v>
      </c>
      <c r="V82" s="29">
        <f t="shared" si="11"/>
        <v>0</v>
      </c>
    </row>
    <row r="83" spans="1:22" s="18" customFormat="1" ht="60" hidden="1" x14ac:dyDescent="0.2">
      <c r="A83" s="36"/>
      <c r="B83" s="44" t="s">
        <v>189</v>
      </c>
      <c r="C83" s="44"/>
      <c r="D83" s="44" t="s">
        <v>190</v>
      </c>
      <c r="E83" s="44" t="s">
        <v>173</v>
      </c>
      <c r="F83" s="40" t="s">
        <v>191</v>
      </c>
      <c r="G83" s="41"/>
      <c r="H83" s="34"/>
      <c r="I83" s="34"/>
      <c r="J83" s="29">
        <f t="shared" si="7"/>
        <v>0</v>
      </c>
      <c r="K83" s="41"/>
      <c r="L83" s="34"/>
      <c r="M83" s="34"/>
      <c r="N83" s="29">
        <f t="shared" si="8"/>
        <v>0</v>
      </c>
      <c r="O83" s="29"/>
      <c r="P83" s="35">
        <f t="shared" si="6"/>
        <v>0</v>
      </c>
      <c r="Q83" s="35">
        <f t="shared" si="6"/>
        <v>0</v>
      </c>
      <c r="R83" s="29">
        <f t="shared" si="9"/>
        <v>0</v>
      </c>
      <c r="S83" s="35">
        <f t="shared" si="10"/>
        <v>0</v>
      </c>
      <c r="T83" s="35">
        <f t="shared" si="10"/>
        <v>0</v>
      </c>
      <c r="U83" s="35">
        <f t="shared" si="10"/>
        <v>0</v>
      </c>
      <c r="V83" s="29">
        <f t="shared" si="11"/>
        <v>0</v>
      </c>
    </row>
    <row r="84" spans="1:22" s="18" customFormat="1" ht="15" hidden="1" x14ac:dyDescent="0.2">
      <c r="A84" s="36"/>
      <c r="B84" s="44" t="s">
        <v>192</v>
      </c>
      <c r="C84" s="44"/>
      <c r="D84" s="44" t="s">
        <v>193</v>
      </c>
      <c r="E84" s="44" t="s">
        <v>194</v>
      </c>
      <c r="F84" s="40" t="s">
        <v>195</v>
      </c>
      <c r="G84" s="41"/>
      <c r="H84" s="34"/>
      <c r="I84" s="34"/>
      <c r="J84" s="29">
        <f t="shared" si="7"/>
        <v>0</v>
      </c>
      <c r="K84" s="41"/>
      <c r="L84" s="34"/>
      <c r="M84" s="34"/>
      <c r="N84" s="29">
        <f t="shared" si="8"/>
        <v>0</v>
      </c>
      <c r="O84" s="29"/>
      <c r="P84" s="35">
        <f t="shared" si="6"/>
        <v>0</v>
      </c>
      <c r="Q84" s="35">
        <f t="shared" si="6"/>
        <v>0</v>
      </c>
      <c r="R84" s="29">
        <f t="shared" si="9"/>
        <v>0</v>
      </c>
      <c r="S84" s="35">
        <f t="shared" si="10"/>
        <v>0</v>
      </c>
      <c r="T84" s="35">
        <f t="shared" si="10"/>
        <v>0</v>
      </c>
      <c r="U84" s="35">
        <f t="shared" si="10"/>
        <v>0</v>
      </c>
      <c r="V84" s="29">
        <f t="shared" si="11"/>
        <v>0</v>
      </c>
    </row>
    <row r="85" spans="1:22" s="18" customFormat="1" ht="45" hidden="1" x14ac:dyDescent="0.2">
      <c r="A85" s="36"/>
      <c r="B85" s="44" t="s">
        <v>196</v>
      </c>
      <c r="C85" s="44"/>
      <c r="D85" s="44" t="s">
        <v>197</v>
      </c>
      <c r="E85" s="44" t="s">
        <v>198</v>
      </c>
      <c r="F85" s="40" t="s">
        <v>199</v>
      </c>
      <c r="G85" s="41"/>
      <c r="H85" s="34"/>
      <c r="I85" s="34"/>
      <c r="J85" s="29">
        <f t="shared" si="7"/>
        <v>0</v>
      </c>
      <c r="K85" s="41"/>
      <c r="L85" s="34"/>
      <c r="M85" s="34"/>
      <c r="N85" s="29">
        <f t="shared" si="8"/>
        <v>0</v>
      </c>
      <c r="O85" s="29"/>
      <c r="P85" s="35">
        <f t="shared" si="6"/>
        <v>0</v>
      </c>
      <c r="Q85" s="35">
        <f t="shared" si="6"/>
        <v>0</v>
      </c>
      <c r="R85" s="29">
        <f t="shared" si="9"/>
        <v>0</v>
      </c>
      <c r="S85" s="35">
        <f t="shared" si="10"/>
        <v>0</v>
      </c>
      <c r="T85" s="35">
        <f t="shared" si="10"/>
        <v>0</v>
      </c>
      <c r="U85" s="35">
        <f t="shared" si="10"/>
        <v>0</v>
      </c>
      <c r="V85" s="29">
        <f t="shared" si="11"/>
        <v>0</v>
      </c>
    </row>
    <row r="86" spans="1:22" s="18" customFormat="1" ht="30" hidden="1" x14ac:dyDescent="0.2">
      <c r="A86" s="36"/>
      <c r="B86" s="44" t="s">
        <v>200</v>
      </c>
      <c r="C86" s="44"/>
      <c r="D86" s="44" t="s">
        <v>201</v>
      </c>
      <c r="E86" s="44" t="s">
        <v>202</v>
      </c>
      <c r="F86" s="40" t="s">
        <v>203</v>
      </c>
      <c r="G86" s="41"/>
      <c r="H86" s="34"/>
      <c r="I86" s="34"/>
      <c r="J86" s="29">
        <f t="shared" si="7"/>
        <v>0</v>
      </c>
      <c r="K86" s="41"/>
      <c r="L86" s="34"/>
      <c r="M86" s="34"/>
      <c r="N86" s="29">
        <f t="shared" si="8"/>
        <v>0</v>
      </c>
      <c r="O86" s="29"/>
      <c r="P86" s="35">
        <f t="shared" si="6"/>
        <v>0</v>
      </c>
      <c r="Q86" s="35">
        <f t="shared" si="6"/>
        <v>0</v>
      </c>
      <c r="R86" s="29">
        <f t="shared" si="9"/>
        <v>0</v>
      </c>
      <c r="S86" s="35">
        <f t="shared" si="10"/>
        <v>0</v>
      </c>
      <c r="T86" s="35">
        <f t="shared" si="10"/>
        <v>0</v>
      </c>
      <c r="U86" s="35">
        <f t="shared" si="10"/>
        <v>0</v>
      </c>
      <c r="V86" s="29">
        <f t="shared" si="11"/>
        <v>0</v>
      </c>
    </row>
    <row r="87" spans="1:22" s="18" customFormat="1" ht="15" hidden="1" x14ac:dyDescent="0.2">
      <c r="A87" s="36"/>
      <c r="B87" s="44" t="s">
        <v>204</v>
      </c>
      <c r="C87" s="44"/>
      <c r="D87" s="44" t="s">
        <v>205</v>
      </c>
      <c r="E87" s="44" t="s">
        <v>202</v>
      </c>
      <c r="F87" s="40" t="s">
        <v>206</v>
      </c>
      <c r="G87" s="41"/>
      <c r="H87" s="34"/>
      <c r="I87" s="34"/>
      <c r="J87" s="29">
        <f t="shared" si="7"/>
        <v>0</v>
      </c>
      <c r="K87" s="41"/>
      <c r="L87" s="34"/>
      <c r="M87" s="34"/>
      <c r="N87" s="29">
        <f t="shared" si="8"/>
        <v>0</v>
      </c>
      <c r="O87" s="29"/>
      <c r="P87" s="35">
        <f t="shared" si="6"/>
        <v>0</v>
      </c>
      <c r="Q87" s="35">
        <f t="shared" si="6"/>
        <v>0</v>
      </c>
      <c r="R87" s="29">
        <f t="shared" si="9"/>
        <v>0</v>
      </c>
      <c r="S87" s="35">
        <f t="shared" si="10"/>
        <v>0</v>
      </c>
      <c r="T87" s="35">
        <f t="shared" si="10"/>
        <v>0</v>
      </c>
      <c r="U87" s="35">
        <f t="shared" si="10"/>
        <v>0</v>
      </c>
      <c r="V87" s="29">
        <f t="shared" si="11"/>
        <v>0</v>
      </c>
    </row>
    <row r="88" spans="1:22" s="18" customFormat="1" ht="30" hidden="1" x14ac:dyDescent="0.2">
      <c r="A88" s="36"/>
      <c r="B88" s="44" t="s">
        <v>207</v>
      </c>
      <c r="C88" s="44"/>
      <c r="D88" s="44" t="s">
        <v>208</v>
      </c>
      <c r="E88" s="44" t="s">
        <v>119</v>
      </c>
      <c r="F88" s="40" t="s">
        <v>209</v>
      </c>
      <c r="G88" s="41"/>
      <c r="H88" s="34"/>
      <c r="I88" s="34"/>
      <c r="J88" s="29">
        <f t="shared" si="7"/>
        <v>0</v>
      </c>
      <c r="K88" s="41"/>
      <c r="L88" s="34"/>
      <c r="M88" s="34"/>
      <c r="N88" s="29">
        <f t="shared" si="8"/>
        <v>0</v>
      </c>
      <c r="O88" s="29"/>
      <c r="P88" s="35">
        <f t="shared" si="6"/>
        <v>0</v>
      </c>
      <c r="Q88" s="35">
        <f t="shared" si="6"/>
        <v>0</v>
      </c>
      <c r="R88" s="29">
        <f t="shared" si="9"/>
        <v>0</v>
      </c>
      <c r="S88" s="35">
        <f t="shared" si="10"/>
        <v>0</v>
      </c>
      <c r="T88" s="35">
        <f t="shared" si="10"/>
        <v>0</v>
      </c>
      <c r="U88" s="35">
        <f t="shared" si="10"/>
        <v>0</v>
      </c>
      <c r="V88" s="29">
        <f t="shared" si="11"/>
        <v>0</v>
      </c>
    </row>
    <row r="89" spans="1:22" s="18" customFormat="1" ht="30" hidden="1" x14ac:dyDescent="0.2">
      <c r="A89" s="36"/>
      <c r="B89" s="44" t="s">
        <v>210</v>
      </c>
      <c r="C89" s="44"/>
      <c r="D89" s="44" t="s">
        <v>211</v>
      </c>
      <c r="E89" s="44" t="s">
        <v>212</v>
      </c>
      <c r="F89" s="40" t="s">
        <v>213</v>
      </c>
      <c r="G89" s="41"/>
      <c r="H89" s="34"/>
      <c r="I89" s="34"/>
      <c r="J89" s="29">
        <f t="shared" si="7"/>
        <v>0</v>
      </c>
      <c r="K89" s="41"/>
      <c r="L89" s="34"/>
      <c r="M89" s="34"/>
      <c r="N89" s="29">
        <f t="shared" si="8"/>
        <v>0</v>
      </c>
      <c r="O89" s="29"/>
      <c r="P89" s="35">
        <f t="shared" si="6"/>
        <v>0</v>
      </c>
      <c r="Q89" s="35">
        <f t="shared" si="6"/>
        <v>0</v>
      </c>
      <c r="R89" s="29">
        <f t="shared" si="9"/>
        <v>0</v>
      </c>
      <c r="S89" s="35">
        <f t="shared" si="10"/>
        <v>0</v>
      </c>
      <c r="T89" s="35">
        <f t="shared" si="10"/>
        <v>0</v>
      </c>
      <c r="U89" s="35">
        <f t="shared" si="10"/>
        <v>0</v>
      </c>
      <c r="V89" s="29">
        <f t="shared" si="11"/>
        <v>0</v>
      </c>
    </row>
    <row r="90" spans="1:22" s="63" customFormat="1" ht="33.75" customHeight="1" x14ac:dyDescent="0.2">
      <c r="A90" s="62"/>
      <c r="B90" s="52"/>
      <c r="C90" s="52"/>
      <c r="D90" s="31"/>
      <c r="E90" s="31"/>
      <c r="F90" s="52" t="s">
        <v>214</v>
      </c>
      <c r="G90" s="57">
        <f>G11+G12+G13+G14+G15+G16+G17+G18+G21</f>
        <v>146345732.93000001</v>
      </c>
      <c r="H90" s="57">
        <f t="shared" ref="H90:V90" si="12">H11+H12+H13+H14+H15+H16+H17+H18+H21</f>
        <v>21434826.559999999</v>
      </c>
      <c r="I90" s="57">
        <f t="shared" si="12"/>
        <v>13114385.029999999</v>
      </c>
      <c r="J90" s="58">
        <f t="shared" si="12"/>
        <v>167780559.48999998</v>
      </c>
      <c r="K90" s="57">
        <f t="shared" si="12"/>
        <v>144027605.19183281</v>
      </c>
      <c r="L90" s="57">
        <f t="shared" si="12"/>
        <v>1651893</v>
      </c>
      <c r="M90" s="57">
        <f t="shared" si="12"/>
        <v>130197</v>
      </c>
      <c r="N90" s="58">
        <f t="shared" si="12"/>
        <v>145679498.19183281</v>
      </c>
      <c r="O90" s="58">
        <f t="shared" si="12"/>
        <v>151655872.31532601</v>
      </c>
      <c r="P90" s="58">
        <f t="shared" si="12"/>
        <v>1660500</v>
      </c>
      <c r="Q90" s="58">
        <f t="shared" si="12"/>
        <v>137097.44099999999</v>
      </c>
      <c r="R90" s="58">
        <f t="shared" si="12"/>
        <v>153316372.31532601</v>
      </c>
      <c r="S90" s="58">
        <f t="shared" si="12"/>
        <v>158749309.14516273</v>
      </c>
      <c r="T90" s="58">
        <f t="shared" si="12"/>
        <v>1770200</v>
      </c>
      <c r="U90" s="58">
        <f t="shared" si="12"/>
        <v>144089.41049099999</v>
      </c>
      <c r="V90" s="58">
        <f t="shared" si="12"/>
        <v>160519509.14516273</v>
      </c>
    </row>
    <row r="91" spans="1:22" s="18" customFormat="1" ht="15" x14ac:dyDescent="0.2">
      <c r="A91" s="36"/>
      <c r="B91" s="59"/>
      <c r="C91" s="59"/>
      <c r="E91" s="60"/>
      <c r="F91" s="60"/>
      <c r="I91" s="60"/>
      <c r="M91" s="60"/>
    </row>
    <row r="92" spans="1:22" x14ac:dyDescent="0.2">
      <c r="D92" s="60"/>
      <c r="E92" s="18"/>
      <c r="F92" s="356"/>
      <c r="G92" s="19"/>
      <c r="H92" s="19"/>
      <c r="I92" s="19"/>
      <c r="J92" s="356"/>
      <c r="K92" s="19"/>
      <c r="L92" s="19"/>
      <c r="M92" s="19"/>
      <c r="N92" s="19"/>
    </row>
    <row r="93" spans="1:22" x14ac:dyDescent="0.2">
      <c r="D93" s="18"/>
      <c r="E93" s="18"/>
      <c r="F93" s="19"/>
      <c r="G93" s="19"/>
      <c r="H93" s="19"/>
      <c r="I93" s="19"/>
      <c r="J93" s="19"/>
      <c r="K93" s="19"/>
      <c r="L93" s="19"/>
      <c r="M93" s="19"/>
      <c r="N93" s="19"/>
    </row>
    <row r="94" spans="1:22" ht="15.75" x14ac:dyDescent="0.25">
      <c r="D94" s="18"/>
      <c r="E94" s="18"/>
      <c r="F94" s="490" t="s">
        <v>441</v>
      </c>
      <c r="G94" s="19"/>
      <c r="H94" s="19"/>
      <c r="I94" s="19"/>
      <c r="J94" s="19"/>
      <c r="K94" s="19"/>
      <c r="L94" s="19"/>
      <c r="M94" s="19"/>
      <c r="N94" s="19"/>
    </row>
    <row r="95" spans="1:22" ht="15.75" x14ac:dyDescent="0.25">
      <c r="V95" s="15" t="s">
        <v>439</v>
      </c>
    </row>
  </sheetData>
  <mergeCells count="28">
    <mergeCell ref="B1:J1"/>
    <mergeCell ref="B5:T5"/>
    <mergeCell ref="B7:B9"/>
    <mergeCell ref="C7:C9"/>
    <mergeCell ref="D7:D9"/>
    <mergeCell ref="E7:E9"/>
    <mergeCell ref="F7:F9"/>
    <mergeCell ref="S8:S9"/>
    <mergeCell ref="L8:L9"/>
    <mergeCell ref="M8:M9"/>
    <mergeCell ref="G7:J7"/>
    <mergeCell ref="K7:N7"/>
    <mergeCell ref="O7:R7"/>
    <mergeCell ref="S7:V7"/>
    <mergeCell ref="V8:V9"/>
    <mergeCell ref="T8:T9"/>
    <mergeCell ref="U8:U9"/>
    <mergeCell ref="F59:F63"/>
    <mergeCell ref="P8:P9"/>
    <mergeCell ref="Q8:Q9"/>
    <mergeCell ref="R8:R9"/>
    <mergeCell ref="I8:I9"/>
    <mergeCell ref="J8:J9"/>
    <mergeCell ref="K8:K9"/>
    <mergeCell ref="G8:G9"/>
    <mergeCell ref="H8:H9"/>
    <mergeCell ref="N8:N9"/>
    <mergeCell ref="O8:O9"/>
  </mergeCells>
  <phoneticPr fontId="73" type="noConversion"/>
  <printOptions horizontalCentered="1"/>
  <pageMargins left="0.78740157480314965" right="0.78740157480314965" top="1.1811023622047245" bottom="0.39370078740157483" header="0.51181102362204722" footer="0.31496062992125984"/>
  <pageSetup paperSize="9" scale="56" fitToHeight="4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9"/>
  <sheetViews>
    <sheetView showGridLines="0" showZeros="0" topLeftCell="D93" zoomScale="90" zoomScaleNormal="90" zoomScaleSheetLayoutView="90" workbookViewId="0">
      <selection activeCell="M94" sqref="M94"/>
    </sheetView>
  </sheetViews>
  <sheetFormatPr defaultColWidth="7.85546875" defaultRowHeight="12.75" x14ac:dyDescent="0.2"/>
  <cols>
    <col min="1" max="1" width="3.28515625" style="16" hidden="1" customWidth="1"/>
    <col min="2" max="2" width="10.5703125" style="16" hidden="1" customWidth="1"/>
    <col min="3" max="3" width="8.5703125" style="16" hidden="1" customWidth="1"/>
    <col min="4" max="4" width="14.5703125" style="16" customWidth="1"/>
    <col min="5" max="5" width="9" style="16" hidden="1" customWidth="1"/>
    <col min="6" max="6" width="27.5703125" style="16" customWidth="1"/>
    <col min="7" max="7" width="36.140625" style="16" customWidth="1"/>
    <col min="8" max="8" width="12" style="16" customWidth="1"/>
    <col min="9" max="9" width="9.5703125" style="16" customWidth="1"/>
    <col min="10" max="10" width="9.28515625" style="16" customWidth="1"/>
    <col min="11" max="11" width="10.140625" style="395" customWidth="1"/>
    <col min="12" max="12" width="9.42578125" style="19" bestFit="1" customWidth="1"/>
    <col min="13" max="13" width="9.85546875" style="19" customWidth="1"/>
    <col min="14" max="14" width="10.140625" style="19" customWidth="1"/>
    <col min="15" max="243" width="7.85546875" style="19"/>
    <col min="244" max="246" width="0" style="19" hidden="1" customWidth="1"/>
    <col min="247" max="247" width="12.7109375" style="19" customWidth="1"/>
    <col min="248" max="248" width="0" style="19" hidden="1" customWidth="1"/>
    <col min="249" max="249" width="42.140625" style="19" customWidth="1"/>
    <col min="250" max="250" width="13.140625" style="19" customWidth="1"/>
    <col min="251" max="252" width="12.7109375" style="19" customWidth="1"/>
    <col min="253" max="253" width="12.85546875" style="19" customWidth="1"/>
    <col min="254" max="254" width="11.28515625" style="19" customWidth="1"/>
    <col min="255" max="255" width="10" style="19" customWidth="1"/>
    <col min="256" max="256" width="9.85546875" style="19" customWidth="1"/>
    <col min="257" max="257" width="11.42578125" style="19" customWidth="1"/>
    <col min="258" max="258" width="13.85546875" style="19" customWidth="1"/>
    <col min="259" max="259" width="10.42578125" style="19" customWidth="1"/>
    <col min="260" max="260" width="10.5703125" style="19" customWidth="1"/>
    <col min="261" max="261" width="13.28515625" style="19" customWidth="1"/>
    <col min="262" max="262" width="15.85546875" style="19" customWidth="1"/>
    <col min="263" max="263" width="12.7109375" style="19" customWidth="1"/>
    <col min="264" max="264" width="11.85546875" style="19" customWidth="1"/>
    <col min="265" max="265" width="17.5703125" style="19" customWidth="1"/>
    <col min="266" max="499" width="7.85546875" style="19"/>
    <col min="500" max="502" width="0" style="19" hidden="1" customWidth="1"/>
    <col min="503" max="503" width="12.7109375" style="19" customWidth="1"/>
    <col min="504" max="504" width="0" style="19" hidden="1" customWidth="1"/>
    <col min="505" max="505" width="42.140625" style="19" customWidth="1"/>
    <col min="506" max="506" width="13.140625" style="19" customWidth="1"/>
    <col min="507" max="508" width="12.7109375" style="19" customWidth="1"/>
    <col min="509" max="509" width="12.85546875" style="19" customWidth="1"/>
    <col min="510" max="510" width="11.28515625" style="19" customWidth="1"/>
    <col min="511" max="511" width="10" style="19" customWidth="1"/>
    <col min="512" max="512" width="9.85546875" style="19" customWidth="1"/>
    <col min="513" max="513" width="11.42578125" style="19" customWidth="1"/>
    <col min="514" max="514" width="13.85546875" style="19" customWidth="1"/>
    <col min="515" max="515" width="10.42578125" style="19" customWidth="1"/>
    <col min="516" max="516" width="10.5703125" style="19" customWidth="1"/>
    <col min="517" max="517" width="13.28515625" style="19" customWidth="1"/>
    <col min="518" max="518" width="15.85546875" style="19" customWidth="1"/>
    <col min="519" max="519" width="12.7109375" style="19" customWidth="1"/>
    <col min="520" max="520" width="11.85546875" style="19" customWidth="1"/>
    <col min="521" max="521" width="17.5703125" style="19" customWidth="1"/>
    <col min="522" max="755" width="7.85546875" style="19"/>
    <col min="756" max="758" width="0" style="19" hidden="1" customWidth="1"/>
    <col min="759" max="759" width="12.7109375" style="19" customWidth="1"/>
    <col min="760" max="760" width="0" style="19" hidden="1" customWidth="1"/>
    <col min="761" max="761" width="42.140625" style="19" customWidth="1"/>
    <col min="762" max="762" width="13.140625" style="19" customWidth="1"/>
    <col min="763" max="764" width="12.7109375" style="19" customWidth="1"/>
    <col min="765" max="765" width="12.85546875" style="19" customWidth="1"/>
    <col min="766" max="766" width="11.28515625" style="19" customWidth="1"/>
    <col min="767" max="767" width="10" style="19" customWidth="1"/>
    <col min="768" max="768" width="9.85546875" style="19" customWidth="1"/>
    <col min="769" max="769" width="11.42578125" style="19" customWidth="1"/>
    <col min="770" max="770" width="13.85546875" style="19" customWidth="1"/>
    <col min="771" max="771" width="10.42578125" style="19" customWidth="1"/>
    <col min="772" max="772" width="10.5703125" style="19" customWidth="1"/>
    <col min="773" max="773" width="13.28515625" style="19" customWidth="1"/>
    <col min="774" max="774" width="15.85546875" style="19" customWidth="1"/>
    <col min="775" max="775" width="12.7109375" style="19" customWidth="1"/>
    <col min="776" max="776" width="11.85546875" style="19" customWidth="1"/>
    <col min="777" max="777" width="17.5703125" style="19" customWidth="1"/>
    <col min="778" max="1011" width="7.85546875" style="19"/>
    <col min="1012" max="1014" width="0" style="19" hidden="1" customWidth="1"/>
    <col min="1015" max="1015" width="12.7109375" style="19" customWidth="1"/>
    <col min="1016" max="1016" width="0" style="19" hidden="1" customWidth="1"/>
    <col min="1017" max="1017" width="42.140625" style="19" customWidth="1"/>
    <col min="1018" max="1018" width="13.140625" style="19" customWidth="1"/>
    <col min="1019" max="1020" width="12.7109375" style="19" customWidth="1"/>
    <col min="1021" max="1021" width="12.85546875" style="19" customWidth="1"/>
    <col min="1022" max="1022" width="11.28515625" style="19" customWidth="1"/>
    <col min="1023" max="1023" width="10" style="19" customWidth="1"/>
    <col min="1024" max="1024" width="9.85546875" style="19" customWidth="1"/>
    <col min="1025" max="1025" width="11.42578125" style="19" customWidth="1"/>
    <col min="1026" max="1026" width="13.85546875" style="19" customWidth="1"/>
    <col min="1027" max="1027" width="10.42578125" style="19" customWidth="1"/>
    <col min="1028" max="1028" width="10.5703125" style="19" customWidth="1"/>
    <col min="1029" max="1029" width="13.28515625" style="19" customWidth="1"/>
    <col min="1030" max="1030" width="15.85546875" style="19" customWidth="1"/>
    <col min="1031" max="1031" width="12.7109375" style="19" customWidth="1"/>
    <col min="1032" max="1032" width="11.85546875" style="19" customWidth="1"/>
    <col min="1033" max="1033" width="17.5703125" style="19" customWidth="1"/>
    <col min="1034" max="1267" width="7.85546875" style="19"/>
    <col min="1268" max="1270" width="0" style="19" hidden="1" customWidth="1"/>
    <col min="1271" max="1271" width="12.7109375" style="19" customWidth="1"/>
    <col min="1272" max="1272" width="0" style="19" hidden="1" customWidth="1"/>
    <col min="1273" max="1273" width="42.140625" style="19" customWidth="1"/>
    <col min="1274" max="1274" width="13.140625" style="19" customWidth="1"/>
    <col min="1275" max="1276" width="12.7109375" style="19" customWidth="1"/>
    <col min="1277" max="1277" width="12.85546875" style="19" customWidth="1"/>
    <col min="1278" max="1278" width="11.28515625" style="19" customWidth="1"/>
    <col min="1279" max="1279" width="10" style="19" customWidth="1"/>
    <col min="1280" max="1280" width="9.85546875" style="19" customWidth="1"/>
    <col min="1281" max="1281" width="11.42578125" style="19" customWidth="1"/>
    <col min="1282" max="1282" width="13.85546875" style="19" customWidth="1"/>
    <col min="1283" max="1283" width="10.42578125" style="19" customWidth="1"/>
    <col min="1284" max="1284" width="10.5703125" style="19" customWidth="1"/>
    <col min="1285" max="1285" width="13.28515625" style="19" customWidth="1"/>
    <col min="1286" max="1286" width="15.85546875" style="19" customWidth="1"/>
    <col min="1287" max="1287" width="12.7109375" style="19" customWidth="1"/>
    <col min="1288" max="1288" width="11.85546875" style="19" customWidth="1"/>
    <col min="1289" max="1289" width="17.5703125" style="19" customWidth="1"/>
    <col min="1290" max="1523" width="7.85546875" style="19"/>
    <col min="1524" max="1526" width="0" style="19" hidden="1" customWidth="1"/>
    <col min="1527" max="1527" width="12.7109375" style="19" customWidth="1"/>
    <col min="1528" max="1528" width="0" style="19" hidden="1" customWidth="1"/>
    <col min="1529" max="1529" width="42.140625" style="19" customWidth="1"/>
    <col min="1530" max="1530" width="13.140625" style="19" customWidth="1"/>
    <col min="1531" max="1532" width="12.7109375" style="19" customWidth="1"/>
    <col min="1533" max="1533" width="12.85546875" style="19" customWidth="1"/>
    <col min="1534" max="1534" width="11.28515625" style="19" customWidth="1"/>
    <col min="1535" max="1535" width="10" style="19" customWidth="1"/>
    <col min="1536" max="1536" width="9.85546875" style="19" customWidth="1"/>
    <col min="1537" max="1537" width="11.42578125" style="19" customWidth="1"/>
    <col min="1538" max="1538" width="13.85546875" style="19" customWidth="1"/>
    <col min="1539" max="1539" width="10.42578125" style="19" customWidth="1"/>
    <col min="1540" max="1540" width="10.5703125" style="19" customWidth="1"/>
    <col min="1541" max="1541" width="13.28515625" style="19" customWidth="1"/>
    <col min="1542" max="1542" width="15.85546875" style="19" customWidth="1"/>
    <col min="1543" max="1543" width="12.7109375" style="19" customWidth="1"/>
    <col min="1544" max="1544" width="11.85546875" style="19" customWidth="1"/>
    <col min="1545" max="1545" width="17.5703125" style="19" customWidth="1"/>
    <col min="1546" max="1779" width="7.85546875" style="19"/>
    <col min="1780" max="1782" width="0" style="19" hidden="1" customWidth="1"/>
    <col min="1783" max="1783" width="12.7109375" style="19" customWidth="1"/>
    <col min="1784" max="1784" width="0" style="19" hidden="1" customWidth="1"/>
    <col min="1785" max="1785" width="42.140625" style="19" customWidth="1"/>
    <col min="1786" max="1786" width="13.140625" style="19" customWidth="1"/>
    <col min="1787" max="1788" width="12.7109375" style="19" customWidth="1"/>
    <col min="1789" max="1789" width="12.85546875" style="19" customWidth="1"/>
    <col min="1790" max="1790" width="11.28515625" style="19" customWidth="1"/>
    <col min="1791" max="1791" width="10" style="19" customWidth="1"/>
    <col min="1792" max="1792" width="9.85546875" style="19" customWidth="1"/>
    <col min="1793" max="1793" width="11.42578125" style="19" customWidth="1"/>
    <col min="1794" max="1794" width="13.85546875" style="19" customWidth="1"/>
    <col min="1795" max="1795" width="10.42578125" style="19" customWidth="1"/>
    <col min="1796" max="1796" width="10.5703125" style="19" customWidth="1"/>
    <col min="1797" max="1797" width="13.28515625" style="19" customWidth="1"/>
    <col min="1798" max="1798" width="15.85546875" style="19" customWidth="1"/>
    <col min="1799" max="1799" width="12.7109375" style="19" customWidth="1"/>
    <col min="1800" max="1800" width="11.85546875" style="19" customWidth="1"/>
    <col min="1801" max="1801" width="17.5703125" style="19" customWidth="1"/>
    <col min="1802" max="2035" width="7.85546875" style="19"/>
    <col min="2036" max="2038" width="0" style="19" hidden="1" customWidth="1"/>
    <col min="2039" max="2039" width="12.7109375" style="19" customWidth="1"/>
    <col min="2040" max="2040" width="0" style="19" hidden="1" customWidth="1"/>
    <col min="2041" max="2041" width="42.140625" style="19" customWidth="1"/>
    <col min="2042" max="2042" width="13.140625" style="19" customWidth="1"/>
    <col min="2043" max="2044" width="12.7109375" style="19" customWidth="1"/>
    <col min="2045" max="2045" width="12.85546875" style="19" customWidth="1"/>
    <col min="2046" max="2046" width="11.28515625" style="19" customWidth="1"/>
    <col min="2047" max="2047" width="10" style="19" customWidth="1"/>
    <col min="2048" max="2048" width="9.85546875" style="19" customWidth="1"/>
    <col min="2049" max="2049" width="11.42578125" style="19" customWidth="1"/>
    <col min="2050" max="2050" width="13.85546875" style="19" customWidth="1"/>
    <col min="2051" max="2051" width="10.42578125" style="19" customWidth="1"/>
    <col min="2052" max="2052" width="10.5703125" style="19" customWidth="1"/>
    <col min="2053" max="2053" width="13.28515625" style="19" customWidth="1"/>
    <col min="2054" max="2054" width="15.85546875" style="19" customWidth="1"/>
    <col min="2055" max="2055" width="12.7109375" style="19" customWidth="1"/>
    <col min="2056" max="2056" width="11.85546875" style="19" customWidth="1"/>
    <col min="2057" max="2057" width="17.5703125" style="19" customWidth="1"/>
    <col min="2058" max="2291" width="7.85546875" style="19"/>
    <col min="2292" max="2294" width="0" style="19" hidden="1" customWidth="1"/>
    <col min="2295" max="2295" width="12.7109375" style="19" customWidth="1"/>
    <col min="2296" max="2296" width="0" style="19" hidden="1" customWidth="1"/>
    <col min="2297" max="2297" width="42.140625" style="19" customWidth="1"/>
    <col min="2298" max="2298" width="13.140625" style="19" customWidth="1"/>
    <col min="2299" max="2300" width="12.7109375" style="19" customWidth="1"/>
    <col min="2301" max="2301" width="12.85546875" style="19" customWidth="1"/>
    <col min="2302" max="2302" width="11.28515625" style="19" customWidth="1"/>
    <col min="2303" max="2303" width="10" style="19" customWidth="1"/>
    <col min="2304" max="2304" width="9.85546875" style="19" customWidth="1"/>
    <col min="2305" max="2305" width="11.42578125" style="19" customWidth="1"/>
    <col min="2306" max="2306" width="13.85546875" style="19" customWidth="1"/>
    <col min="2307" max="2307" width="10.42578125" style="19" customWidth="1"/>
    <col min="2308" max="2308" width="10.5703125" style="19" customWidth="1"/>
    <col min="2309" max="2309" width="13.28515625" style="19" customWidth="1"/>
    <col min="2310" max="2310" width="15.85546875" style="19" customWidth="1"/>
    <col min="2311" max="2311" width="12.7109375" style="19" customWidth="1"/>
    <col min="2312" max="2312" width="11.85546875" style="19" customWidth="1"/>
    <col min="2313" max="2313" width="17.5703125" style="19" customWidth="1"/>
    <col min="2314" max="2547" width="7.85546875" style="19"/>
    <col min="2548" max="2550" width="0" style="19" hidden="1" customWidth="1"/>
    <col min="2551" max="2551" width="12.7109375" style="19" customWidth="1"/>
    <col min="2552" max="2552" width="0" style="19" hidden="1" customWidth="1"/>
    <col min="2553" max="2553" width="42.140625" style="19" customWidth="1"/>
    <col min="2554" max="2554" width="13.140625" style="19" customWidth="1"/>
    <col min="2555" max="2556" width="12.7109375" style="19" customWidth="1"/>
    <col min="2557" max="2557" width="12.85546875" style="19" customWidth="1"/>
    <col min="2558" max="2558" width="11.28515625" style="19" customWidth="1"/>
    <col min="2559" max="2559" width="10" style="19" customWidth="1"/>
    <col min="2560" max="2560" width="9.85546875" style="19" customWidth="1"/>
    <col min="2561" max="2561" width="11.42578125" style="19" customWidth="1"/>
    <col min="2562" max="2562" width="13.85546875" style="19" customWidth="1"/>
    <col min="2563" max="2563" width="10.42578125" style="19" customWidth="1"/>
    <col min="2564" max="2564" width="10.5703125" style="19" customWidth="1"/>
    <col min="2565" max="2565" width="13.28515625" style="19" customWidth="1"/>
    <col min="2566" max="2566" width="15.85546875" style="19" customWidth="1"/>
    <col min="2567" max="2567" width="12.7109375" style="19" customWidth="1"/>
    <col min="2568" max="2568" width="11.85546875" style="19" customWidth="1"/>
    <col min="2569" max="2569" width="17.5703125" style="19" customWidth="1"/>
    <col min="2570" max="2803" width="7.85546875" style="19"/>
    <col min="2804" max="2806" width="0" style="19" hidden="1" customWidth="1"/>
    <col min="2807" max="2807" width="12.7109375" style="19" customWidth="1"/>
    <col min="2808" max="2808" width="0" style="19" hidden="1" customWidth="1"/>
    <col min="2809" max="2809" width="42.140625" style="19" customWidth="1"/>
    <col min="2810" max="2810" width="13.140625" style="19" customWidth="1"/>
    <col min="2811" max="2812" width="12.7109375" style="19" customWidth="1"/>
    <col min="2813" max="2813" width="12.85546875" style="19" customWidth="1"/>
    <col min="2814" max="2814" width="11.28515625" style="19" customWidth="1"/>
    <col min="2815" max="2815" width="10" style="19" customWidth="1"/>
    <col min="2816" max="2816" width="9.85546875" style="19" customWidth="1"/>
    <col min="2817" max="2817" width="11.42578125" style="19" customWidth="1"/>
    <col min="2818" max="2818" width="13.85546875" style="19" customWidth="1"/>
    <col min="2819" max="2819" width="10.42578125" style="19" customWidth="1"/>
    <col min="2820" max="2820" width="10.5703125" style="19" customWidth="1"/>
    <col min="2821" max="2821" width="13.28515625" style="19" customWidth="1"/>
    <col min="2822" max="2822" width="15.85546875" style="19" customWidth="1"/>
    <col min="2823" max="2823" width="12.7109375" style="19" customWidth="1"/>
    <col min="2824" max="2824" width="11.85546875" style="19" customWidth="1"/>
    <col min="2825" max="2825" width="17.5703125" style="19" customWidth="1"/>
    <col min="2826" max="3059" width="7.85546875" style="19"/>
    <col min="3060" max="3062" width="0" style="19" hidden="1" customWidth="1"/>
    <col min="3063" max="3063" width="12.7109375" style="19" customWidth="1"/>
    <col min="3064" max="3064" width="0" style="19" hidden="1" customWidth="1"/>
    <col min="3065" max="3065" width="42.140625" style="19" customWidth="1"/>
    <col min="3066" max="3066" width="13.140625" style="19" customWidth="1"/>
    <col min="3067" max="3068" width="12.7109375" style="19" customWidth="1"/>
    <col min="3069" max="3069" width="12.85546875" style="19" customWidth="1"/>
    <col min="3070" max="3070" width="11.28515625" style="19" customWidth="1"/>
    <col min="3071" max="3071" width="10" style="19" customWidth="1"/>
    <col min="3072" max="3072" width="9.85546875" style="19" customWidth="1"/>
    <col min="3073" max="3073" width="11.42578125" style="19" customWidth="1"/>
    <col min="3074" max="3074" width="13.85546875" style="19" customWidth="1"/>
    <col min="3075" max="3075" width="10.42578125" style="19" customWidth="1"/>
    <col min="3076" max="3076" width="10.5703125" style="19" customWidth="1"/>
    <col min="3077" max="3077" width="13.28515625" style="19" customWidth="1"/>
    <col min="3078" max="3078" width="15.85546875" style="19" customWidth="1"/>
    <col min="3079" max="3079" width="12.7109375" style="19" customWidth="1"/>
    <col min="3080" max="3080" width="11.85546875" style="19" customWidth="1"/>
    <col min="3081" max="3081" width="17.5703125" style="19" customWidth="1"/>
    <col min="3082" max="3315" width="7.85546875" style="19"/>
    <col min="3316" max="3318" width="0" style="19" hidden="1" customWidth="1"/>
    <col min="3319" max="3319" width="12.7109375" style="19" customWidth="1"/>
    <col min="3320" max="3320" width="0" style="19" hidden="1" customWidth="1"/>
    <col min="3321" max="3321" width="42.140625" style="19" customWidth="1"/>
    <col min="3322" max="3322" width="13.140625" style="19" customWidth="1"/>
    <col min="3323" max="3324" width="12.7109375" style="19" customWidth="1"/>
    <col min="3325" max="3325" width="12.85546875" style="19" customWidth="1"/>
    <col min="3326" max="3326" width="11.28515625" style="19" customWidth="1"/>
    <col min="3327" max="3327" width="10" style="19" customWidth="1"/>
    <col min="3328" max="3328" width="9.85546875" style="19" customWidth="1"/>
    <col min="3329" max="3329" width="11.42578125" style="19" customWidth="1"/>
    <col min="3330" max="3330" width="13.85546875" style="19" customWidth="1"/>
    <col min="3331" max="3331" width="10.42578125" style="19" customWidth="1"/>
    <col min="3332" max="3332" width="10.5703125" style="19" customWidth="1"/>
    <col min="3333" max="3333" width="13.28515625" style="19" customWidth="1"/>
    <col min="3334" max="3334" width="15.85546875" style="19" customWidth="1"/>
    <col min="3335" max="3335" width="12.7109375" style="19" customWidth="1"/>
    <col min="3336" max="3336" width="11.85546875" style="19" customWidth="1"/>
    <col min="3337" max="3337" width="17.5703125" style="19" customWidth="1"/>
    <col min="3338" max="3571" width="7.85546875" style="19"/>
    <col min="3572" max="3574" width="0" style="19" hidden="1" customWidth="1"/>
    <col min="3575" max="3575" width="12.7109375" style="19" customWidth="1"/>
    <col min="3576" max="3576" width="0" style="19" hidden="1" customWidth="1"/>
    <col min="3577" max="3577" width="42.140625" style="19" customWidth="1"/>
    <col min="3578" max="3578" width="13.140625" style="19" customWidth="1"/>
    <col min="3579" max="3580" width="12.7109375" style="19" customWidth="1"/>
    <col min="3581" max="3581" width="12.85546875" style="19" customWidth="1"/>
    <col min="3582" max="3582" width="11.28515625" style="19" customWidth="1"/>
    <col min="3583" max="3583" width="10" style="19" customWidth="1"/>
    <col min="3584" max="3584" width="9.85546875" style="19" customWidth="1"/>
    <col min="3585" max="3585" width="11.42578125" style="19" customWidth="1"/>
    <col min="3586" max="3586" width="13.85546875" style="19" customWidth="1"/>
    <col min="3587" max="3587" width="10.42578125" style="19" customWidth="1"/>
    <col min="3588" max="3588" width="10.5703125" style="19" customWidth="1"/>
    <col min="3589" max="3589" width="13.28515625" style="19" customWidth="1"/>
    <col min="3590" max="3590" width="15.85546875" style="19" customWidth="1"/>
    <col min="3591" max="3591" width="12.7109375" style="19" customWidth="1"/>
    <col min="3592" max="3592" width="11.85546875" style="19" customWidth="1"/>
    <col min="3593" max="3593" width="17.5703125" style="19" customWidth="1"/>
    <col min="3594" max="3827" width="7.85546875" style="19"/>
    <col min="3828" max="3830" width="0" style="19" hidden="1" customWidth="1"/>
    <col min="3831" max="3831" width="12.7109375" style="19" customWidth="1"/>
    <col min="3832" max="3832" width="0" style="19" hidden="1" customWidth="1"/>
    <col min="3833" max="3833" width="42.140625" style="19" customWidth="1"/>
    <col min="3834" max="3834" width="13.140625" style="19" customWidth="1"/>
    <col min="3835" max="3836" width="12.7109375" style="19" customWidth="1"/>
    <col min="3837" max="3837" width="12.85546875" style="19" customWidth="1"/>
    <col min="3838" max="3838" width="11.28515625" style="19" customWidth="1"/>
    <col min="3839" max="3839" width="10" style="19" customWidth="1"/>
    <col min="3840" max="3840" width="9.85546875" style="19" customWidth="1"/>
    <col min="3841" max="3841" width="11.42578125" style="19" customWidth="1"/>
    <col min="3842" max="3842" width="13.85546875" style="19" customWidth="1"/>
    <col min="3843" max="3843" width="10.42578125" style="19" customWidth="1"/>
    <col min="3844" max="3844" width="10.5703125" style="19" customWidth="1"/>
    <col min="3845" max="3845" width="13.28515625" style="19" customWidth="1"/>
    <col min="3846" max="3846" width="15.85546875" style="19" customWidth="1"/>
    <col min="3847" max="3847" width="12.7109375" style="19" customWidth="1"/>
    <col min="3848" max="3848" width="11.85546875" style="19" customWidth="1"/>
    <col min="3849" max="3849" width="17.5703125" style="19" customWidth="1"/>
    <col min="3850" max="4083" width="7.85546875" style="19"/>
    <col min="4084" max="4086" width="0" style="19" hidden="1" customWidth="1"/>
    <col min="4087" max="4087" width="12.7109375" style="19" customWidth="1"/>
    <col min="4088" max="4088" width="0" style="19" hidden="1" customWidth="1"/>
    <col min="4089" max="4089" width="42.140625" style="19" customWidth="1"/>
    <col min="4090" max="4090" width="13.140625" style="19" customWidth="1"/>
    <col min="4091" max="4092" width="12.7109375" style="19" customWidth="1"/>
    <col min="4093" max="4093" width="12.85546875" style="19" customWidth="1"/>
    <col min="4094" max="4094" width="11.28515625" style="19" customWidth="1"/>
    <col min="4095" max="4095" width="10" style="19" customWidth="1"/>
    <col min="4096" max="4096" width="9.85546875" style="19" customWidth="1"/>
    <col min="4097" max="4097" width="11.42578125" style="19" customWidth="1"/>
    <col min="4098" max="4098" width="13.85546875" style="19" customWidth="1"/>
    <col min="4099" max="4099" width="10.42578125" style="19" customWidth="1"/>
    <col min="4100" max="4100" width="10.5703125" style="19" customWidth="1"/>
    <col min="4101" max="4101" width="13.28515625" style="19" customWidth="1"/>
    <col min="4102" max="4102" width="15.85546875" style="19" customWidth="1"/>
    <col min="4103" max="4103" width="12.7109375" style="19" customWidth="1"/>
    <col min="4104" max="4104" width="11.85546875" style="19" customWidth="1"/>
    <col min="4105" max="4105" width="17.5703125" style="19" customWidth="1"/>
    <col min="4106" max="4339" width="7.85546875" style="19"/>
    <col min="4340" max="4342" width="0" style="19" hidden="1" customWidth="1"/>
    <col min="4343" max="4343" width="12.7109375" style="19" customWidth="1"/>
    <col min="4344" max="4344" width="0" style="19" hidden="1" customWidth="1"/>
    <col min="4345" max="4345" width="42.140625" style="19" customWidth="1"/>
    <col min="4346" max="4346" width="13.140625" style="19" customWidth="1"/>
    <col min="4347" max="4348" width="12.7109375" style="19" customWidth="1"/>
    <col min="4349" max="4349" width="12.85546875" style="19" customWidth="1"/>
    <col min="4350" max="4350" width="11.28515625" style="19" customWidth="1"/>
    <col min="4351" max="4351" width="10" style="19" customWidth="1"/>
    <col min="4352" max="4352" width="9.85546875" style="19" customWidth="1"/>
    <col min="4353" max="4353" width="11.42578125" style="19" customWidth="1"/>
    <col min="4354" max="4354" width="13.85546875" style="19" customWidth="1"/>
    <col min="4355" max="4355" width="10.42578125" style="19" customWidth="1"/>
    <col min="4356" max="4356" width="10.5703125" style="19" customWidth="1"/>
    <col min="4357" max="4357" width="13.28515625" style="19" customWidth="1"/>
    <col min="4358" max="4358" width="15.85546875" style="19" customWidth="1"/>
    <col min="4359" max="4359" width="12.7109375" style="19" customWidth="1"/>
    <col min="4360" max="4360" width="11.85546875" style="19" customWidth="1"/>
    <col min="4361" max="4361" width="17.5703125" style="19" customWidth="1"/>
    <col min="4362" max="4595" width="7.85546875" style="19"/>
    <col min="4596" max="4598" width="0" style="19" hidden="1" customWidth="1"/>
    <col min="4599" max="4599" width="12.7109375" style="19" customWidth="1"/>
    <col min="4600" max="4600" width="0" style="19" hidden="1" customWidth="1"/>
    <col min="4601" max="4601" width="42.140625" style="19" customWidth="1"/>
    <col min="4602" max="4602" width="13.140625" style="19" customWidth="1"/>
    <col min="4603" max="4604" width="12.7109375" style="19" customWidth="1"/>
    <col min="4605" max="4605" width="12.85546875" style="19" customWidth="1"/>
    <col min="4606" max="4606" width="11.28515625" style="19" customWidth="1"/>
    <col min="4607" max="4607" width="10" style="19" customWidth="1"/>
    <col min="4608" max="4608" width="9.85546875" style="19" customWidth="1"/>
    <col min="4609" max="4609" width="11.42578125" style="19" customWidth="1"/>
    <col min="4610" max="4610" width="13.85546875" style="19" customWidth="1"/>
    <col min="4611" max="4611" width="10.42578125" style="19" customWidth="1"/>
    <col min="4612" max="4612" width="10.5703125" style="19" customWidth="1"/>
    <col min="4613" max="4613" width="13.28515625" style="19" customWidth="1"/>
    <col min="4614" max="4614" width="15.85546875" style="19" customWidth="1"/>
    <col min="4615" max="4615" width="12.7109375" style="19" customWidth="1"/>
    <col min="4616" max="4616" width="11.85546875" style="19" customWidth="1"/>
    <col min="4617" max="4617" width="17.5703125" style="19" customWidth="1"/>
    <col min="4618" max="4851" width="7.85546875" style="19"/>
    <col min="4852" max="4854" width="0" style="19" hidden="1" customWidth="1"/>
    <col min="4855" max="4855" width="12.7109375" style="19" customWidth="1"/>
    <col min="4856" max="4856" width="0" style="19" hidden="1" customWidth="1"/>
    <col min="4857" max="4857" width="42.140625" style="19" customWidth="1"/>
    <col min="4858" max="4858" width="13.140625" style="19" customWidth="1"/>
    <col min="4859" max="4860" width="12.7109375" style="19" customWidth="1"/>
    <col min="4861" max="4861" width="12.85546875" style="19" customWidth="1"/>
    <col min="4862" max="4862" width="11.28515625" style="19" customWidth="1"/>
    <col min="4863" max="4863" width="10" style="19" customWidth="1"/>
    <col min="4864" max="4864" width="9.85546875" style="19" customWidth="1"/>
    <col min="4865" max="4865" width="11.42578125" style="19" customWidth="1"/>
    <col min="4866" max="4866" width="13.85546875" style="19" customWidth="1"/>
    <col min="4867" max="4867" width="10.42578125" style="19" customWidth="1"/>
    <col min="4868" max="4868" width="10.5703125" style="19" customWidth="1"/>
    <col min="4869" max="4869" width="13.28515625" style="19" customWidth="1"/>
    <col min="4870" max="4870" width="15.85546875" style="19" customWidth="1"/>
    <col min="4871" max="4871" width="12.7109375" style="19" customWidth="1"/>
    <col min="4872" max="4872" width="11.85546875" style="19" customWidth="1"/>
    <col min="4873" max="4873" width="17.5703125" style="19" customWidth="1"/>
    <col min="4874" max="5107" width="7.85546875" style="19"/>
    <col min="5108" max="5110" width="0" style="19" hidden="1" customWidth="1"/>
    <col min="5111" max="5111" width="12.7109375" style="19" customWidth="1"/>
    <col min="5112" max="5112" width="0" style="19" hidden="1" customWidth="1"/>
    <col min="5113" max="5113" width="42.140625" style="19" customWidth="1"/>
    <col min="5114" max="5114" width="13.140625" style="19" customWidth="1"/>
    <col min="5115" max="5116" width="12.7109375" style="19" customWidth="1"/>
    <col min="5117" max="5117" width="12.85546875" style="19" customWidth="1"/>
    <col min="5118" max="5118" width="11.28515625" style="19" customWidth="1"/>
    <col min="5119" max="5119" width="10" style="19" customWidth="1"/>
    <col min="5120" max="5120" width="9.85546875" style="19" customWidth="1"/>
    <col min="5121" max="5121" width="11.42578125" style="19" customWidth="1"/>
    <col min="5122" max="5122" width="13.85546875" style="19" customWidth="1"/>
    <col min="5123" max="5123" width="10.42578125" style="19" customWidth="1"/>
    <col min="5124" max="5124" width="10.5703125" style="19" customWidth="1"/>
    <col min="5125" max="5125" width="13.28515625" style="19" customWidth="1"/>
    <col min="5126" max="5126" width="15.85546875" style="19" customWidth="1"/>
    <col min="5127" max="5127" width="12.7109375" style="19" customWidth="1"/>
    <col min="5128" max="5128" width="11.85546875" style="19" customWidth="1"/>
    <col min="5129" max="5129" width="17.5703125" style="19" customWidth="1"/>
    <col min="5130" max="5363" width="7.85546875" style="19"/>
    <col min="5364" max="5366" width="0" style="19" hidden="1" customWidth="1"/>
    <col min="5367" max="5367" width="12.7109375" style="19" customWidth="1"/>
    <col min="5368" max="5368" width="0" style="19" hidden="1" customWidth="1"/>
    <col min="5369" max="5369" width="42.140625" style="19" customWidth="1"/>
    <col min="5370" max="5370" width="13.140625" style="19" customWidth="1"/>
    <col min="5371" max="5372" width="12.7109375" style="19" customWidth="1"/>
    <col min="5373" max="5373" width="12.85546875" style="19" customWidth="1"/>
    <col min="5374" max="5374" width="11.28515625" style="19" customWidth="1"/>
    <col min="5375" max="5375" width="10" style="19" customWidth="1"/>
    <col min="5376" max="5376" width="9.85546875" style="19" customWidth="1"/>
    <col min="5377" max="5377" width="11.42578125" style="19" customWidth="1"/>
    <col min="5378" max="5378" width="13.85546875" style="19" customWidth="1"/>
    <col min="5379" max="5379" width="10.42578125" style="19" customWidth="1"/>
    <col min="5380" max="5380" width="10.5703125" style="19" customWidth="1"/>
    <col min="5381" max="5381" width="13.28515625" style="19" customWidth="1"/>
    <col min="5382" max="5382" width="15.85546875" style="19" customWidth="1"/>
    <col min="5383" max="5383" width="12.7109375" style="19" customWidth="1"/>
    <col min="5384" max="5384" width="11.85546875" style="19" customWidth="1"/>
    <col min="5385" max="5385" width="17.5703125" style="19" customWidth="1"/>
    <col min="5386" max="5619" width="7.85546875" style="19"/>
    <col min="5620" max="5622" width="0" style="19" hidden="1" customWidth="1"/>
    <col min="5623" max="5623" width="12.7109375" style="19" customWidth="1"/>
    <col min="5624" max="5624" width="0" style="19" hidden="1" customWidth="1"/>
    <col min="5625" max="5625" width="42.140625" style="19" customWidth="1"/>
    <col min="5626" max="5626" width="13.140625" style="19" customWidth="1"/>
    <col min="5627" max="5628" width="12.7109375" style="19" customWidth="1"/>
    <col min="5629" max="5629" width="12.85546875" style="19" customWidth="1"/>
    <col min="5630" max="5630" width="11.28515625" style="19" customWidth="1"/>
    <col min="5631" max="5631" width="10" style="19" customWidth="1"/>
    <col min="5632" max="5632" width="9.85546875" style="19" customWidth="1"/>
    <col min="5633" max="5633" width="11.42578125" style="19" customWidth="1"/>
    <col min="5634" max="5634" width="13.85546875" style="19" customWidth="1"/>
    <col min="5635" max="5635" width="10.42578125" style="19" customWidth="1"/>
    <col min="5636" max="5636" width="10.5703125" style="19" customWidth="1"/>
    <col min="5637" max="5637" width="13.28515625" style="19" customWidth="1"/>
    <col min="5638" max="5638" width="15.85546875" style="19" customWidth="1"/>
    <col min="5639" max="5639" width="12.7109375" style="19" customWidth="1"/>
    <col min="5640" max="5640" width="11.85546875" style="19" customWidth="1"/>
    <col min="5641" max="5641" width="17.5703125" style="19" customWidth="1"/>
    <col min="5642" max="5875" width="7.85546875" style="19"/>
    <col min="5876" max="5878" width="0" style="19" hidden="1" customWidth="1"/>
    <col min="5879" max="5879" width="12.7109375" style="19" customWidth="1"/>
    <col min="5880" max="5880" width="0" style="19" hidden="1" customWidth="1"/>
    <col min="5881" max="5881" width="42.140625" style="19" customWidth="1"/>
    <col min="5882" max="5882" width="13.140625" style="19" customWidth="1"/>
    <col min="5883" max="5884" width="12.7109375" style="19" customWidth="1"/>
    <col min="5885" max="5885" width="12.85546875" style="19" customWidth="1"/>
    <col min="5886" max="5886" width="11.28515625" style="19" customWidth="1"/>
    <col min="5887" max="5887" width="10" style="19" customWidth="1"/>
    <col min="5888" max="5888" width="9.85546875" style="19" customWidth="1"/>
    <col min="5889" max="5889" width="11.42578125" style="19" customWidth="1"/>
    <col min="5890" max="5890" width="13.85546875" style="19" customWidth="1"/>
    <col min="5891" max="5891" width="10.42578125" style="19" customWidth="1"/>
    <col min="5892" max="5892" width="10.5703125" style="19" customWidth="1"/>
    <col min="5893" max="5893" width="13.28515625" style="19" customWidth="1"/>
    <col min="5894" max="5894" width="15.85546875" style="19" customWidth="1"/>
    <col min="5895" max="5895" width="12.7109375" style="19" customWidth="1"/>
    <col min="5896" max="5896" width="11.85546875" style="19" customWidth="1"/>
    <col min="5897" max="5897" width="17.5703125" style="19" customWidth="1"/>
    <col min="5898" max="6131" width="7.85546875" style="19"/>
    <col min="6132" max="6134" width="0" style="19" hidden="1" customWidth="1"/>
    <col min="6135" max="6135" width="12.7109375" style="19" customWidth="1"/>
    <col min="6136" max="6136" width="0" style="19" hidden="1" customWidth="1"/>
    <col min="6137" max="6137" width="42.140625" style="19" customWidth="1"/>
    <col min="6138" max="6138" width="13.140625" style="19" customWidth="1"/>
    <col min="6139" max="6140" width="12.7109375" style="19" customWidth="1"/>
    <col min="6141" max="6141" width="12.85546875" style="19" customWidth="1"/>
    <col min="6142" max="6142" width="11.28515625" style="19" customWidth="1"/>
    <col min="6143" max="6143" width="10" style="19" customWidth="1"/>
    <col min="6144" max="6144" width="9.85546875" style="19" customWidth="1"/>
    <col min="6145" max="6145" width="11.42578125" style="19" customWidth="1"/>
    <col min="6146" max="6146" width="13.85546875" style="19" customWidth="1"/>
    <col min="6147" max="6147" width="10.42578125" style="19" customWidth="1"/>
    <col min="6148" max="6148" width="10.5703125" style="19" customWidth="1"/>
    <col min="6149" max="6149" width="13.28515625" style="19" customWidth="1"/>
    <col min="6150" max="6150" width="15.85546875" style="19" customWidth="1"/>
    <col min="6151" max="6151" width="12.7109375" style="19" customWidth="1"/>
    <col min="6152" max="6152" width="11.85546875" style="19" customWidth="1"/>
    <col min="6153" max="6153" width="17.5703125" style="19" customWidth="1"/>
    <col min="6154" max="6387" width="7.85546875" style="19"/>
    <col min="6388" max="6390" width="0" style="19" hidden="1" customWidth="1"/>
    <col min="6391" max="6391" width="12.7109375" style="19" customWidth="1"/>
    <col min="6392" max="6392" width="0" style="19" hidden="1" customWidth="1"/>
    <col min="6393" max="6393" width="42.140625" style="19" customWidth="1"/>
    <col min="6394" max="6394" width="13.140625" style="19" customWidth="1"/>
    <col min="6395" max="6396" width="12.7109375" style="19" customWidth="1"/>
    <col min="6397" max="6397" width="12.85546875" style="19" customWidth="1"/>
    <col min="6398" max="6398" width="11.28515625" style="19" customWidth="1"/>
    <col min="6399" max="6399" width="10" style="19" customWidth="1"/>
    <col min="6400" max="6400" width="9.85546875" style="19" customWidth="1"/>
    <col min="6401" max="6401" width="11.42578125" style="19" customWidth="1"/>
    <col min="6402" max="6402" width="13.85546875" style="19" customWidth="1"/>
    <col min="6403" max="6403" width="10.42578125" style="19" customWidth="1"/>
    <col min="6404" max="6404" width="10.5703125" style="19" customWidth="1"/>
    <col min="6405" max="6405" width="13.28515625" style="19" customWidth="1"/>
    <col min="6406" max="6406" width="15.85546875" style="19" customWidth="1"/>
    <col min="6407" max="6407" width="12.7109375" style="19" customWidth="1"/>
    <col min="6408" max="6408" width="11.85546875" style="19" customWidth="1"/>
    <col min="6409" max="6409" width="17.5703125" style="19" customWidth="1"/>
    <col min="6410" max="6643" width="7.85546875" style="19"/>
    <col min="6644" max="6646" width="0" style="19" hidden="1" customWidth="1"/>
    <col min="6647" max="6647" width="12.7109375" style="19" customWidth="1"/>
    <col min="6648" max="6648" width="0" style="19" hidden="1" customWidth="1"/>
    <col min="6649" max="6649" width="42.140625" style="19" customWidth="1"/>
    <col min="6650" max="6650" width="13.140625" style="19" customWidth="1"/>
    <col min="6651" max="6652" width="12.7109375" style="19" customWidth="1"/>
    <col min="6653" max="6653" width="12.85546875" style="19" customWidth="1"/>
    <col min="6654" max="6654" width="11.28515625" style="19" customWidth="1"/>
    <col min="6655" max="6655" width="10" style="19" customWidth="1"/>
    <col min="6656" max="6656" width="9.85546875" style="19" customWidth="1"/>
    <col min="6657" max="6657" width="11.42578125" style="19" customWidth="1"/>
    <col min="6658" max="6658" width="13.85546875" style="19" customWidth="1"/>
    <col min="6659" max="6659" width="10.42578125" style="19" customWidth="1"/>
    <col min="6660" max="6660" width="10.5703125" style="19" customWidth="1"/>
    <col min="6661" max="6661" width="13.28515625" style="19" customWidth="1"/>
    <col min="6662" max="6662" width="15.85546875" style="19" customWidth="1"/>
    <col min="6663" max="6663" width="12.7109375" style="19" customWidth="1"/>
    <col min="6664" max="6664" width="11.85546875" style="19" customWidth="1"/>
    <col min="6665" max="6665" width="17.5703125" style="19" customWidth="1"/>
    <col min="6666" max="6899" width="7.85546875" style="19"/>
    <col min="6900" max="6902" width="0" style="19" hidden="1" customWidth="1"/>
    <col min="6903" max="6903" width="12.7109375" style="19" customWidth="1"/>
    <col min="6904" max="6904" width="0" style="19" hidden="1" customWidth="1"/>
    <col min="6905" max="6905" width="42.140625" style="19" customWidth="1"/>
    <col min="6906" max="6906" width="13.140625" style="19" customWidth="1"/>
    <col min="6907" max="6908" width="12.7109375" style="19" customWidth="1"/>
    <col min="6909" max="6909" width="12.85546875" style="19" customWidth="1"/>
    <col min="6910" max="6910" width="11.28515625" style="19" customWidth="1"/>
    <col min="6911" max="6911" width="10" style="19" customWidth="1"/>
    <col min="6912" max="6912" width="9.85546875" style="19" customWidth="1"/>
    <col min="6913" max="6913" width="11.42578125" style="19" customWidth="1"/>
    <col min="6914" max="6914" width="13.85546875" style="19" customWidth="1"/>
    <col min="6915" max="6915" width="10.42578125" style="19" customWidth="1"/>
    <col min="6916" max="6916" width="10.5703125" style="19" customWidth="1"/>
    <col min="6917" max="6917" width="13.28515625" style="19" customWidth="1"/>
    <col min="6918" max="6918" width="15.85546875" style="19" customWidth="1"/>
    <col min="6919" max="6919" width="12.7109375" style="19" customWidth="1"/>
    <col min="6920" max="6920" width="11.85546875" style="19" customWidth="1"/>
    <col min="6921" max="6921" width="17.5703125" style="19" customWidth="1"/>
    <col min="6922" max="7155" width="7.85546875" style="19"/>
    <col min="7156" max="7158" width="0" style="19" hidden="1" customWidth="1"/>
    <col min="7159" max="7159" width="12.7109375" style="19" customWidth="1"/>
    <col min="7160" max="7160" width="0" style="19" hidden="1" customWidth="1"/>
    <col min="7161" max="7161" width="42.140625" style="19" customWidth="1"/>
    <col min="7162" max="7162" width="13.140625" style="19" customWidth="1"/>
    <col min="7163" max="7164" width="12.7109375" style="19" customWidth="1"/>
    <col min="7165" max="7165" width="12.85546875" style="19" customWidth="1"/>
    <col min="7166" max="7166" width="11.28515625" style="19" customWidth="1"/>
    <col min="7167" max="7167" width="10" style="19" customWidth="1"/>
    <col min="7168" max="7168" width="9.85546875" style="19" customWidth="1"/>
    <col min="7169" max="7169" width="11.42578125" style="19" customWidth="1"/>
    <col min="7170" max="7170" width="13.85546875" style="19" customWidth="1"/>
    <col min="7171" max="7171" width="10.42578125" style="19" customWidth="1"/>
    <col min="7172" max="7172" width="10.5703125" style="19" customWidth="1"/>
    <col min="7173" max="7173" width="13.28515625" style="19" customWidth="1"/>
    <col min="7174" max="7174" width="15.85546875" style="19" customWidth="1"/>
    <col min="7175" max="7175" width="12.7109375" style="19" customWidth="1"/>
    <col min="7176" max="7176" width="11.85546875" style="19" customWidth="1"/>
    <col min="7177" max="7177" width="17.5703125" style="19" customWidth="1"/>
    <col min="7178" max="7411" width="7.85546875" style="19"/>
    <col min="7412" max="7414" width="0" style="19" hidden="1" customWidth="1"/>
    <col min="7415" max="7415" width="12.7109375" style="19" customWidth="1"/>
    <col min="7416" max="7416" width="0" style="19" hidden="1" customWidth="1"/>
    <col min="7417" max="7417" width="42.140625" style="19" customWidth="1"/>
    <col min="7418" max="7418" width="13.140625" style="19" customWidth="1"/>
    <col min="7419" max="7420" width="12.7109375" style="19" customWidth="1"/>
    <col min="7421" max="7421" width="12.85546875" style="19" customWidth="1"/>
    <col min="7422" max="7422" width="11.28515625" style="19" customWidth="1"/>
    <col min="7423" max="7423" width="10" style="19" customWidth="1"/>
    <col min="7424" max="7424" width="9.85546875" style="19" customWidth="1"/>
    <col min="7425" max="7425" width="11.42578125" style="19" customWidth="1"/>
    <col min="7426" max="7426" width="13.85546875" style="19" customWidth="1"/>
    <col min="7427" max="7427" width="10.42578125" style="19" customWidth="1"/>
    <col min="7428" max="7428" width="10.5703125" style="19" customWidth="1"/>
    <col min="7429" max="7429" width="13.28515625" style="19" customWidth="1"/>
    <col min="7430" max="7430" width="15.85546875" style="19" customWidth="1"/>
    <col min="7431" max="7431" width="12.7109375" style="19" customWidth="1"/>
    <col min="7432" max="7432" width="11.85546875" style="19" customWidth="1"/>
    <col min="7433" max="7433" width="17.5703125" style="19" customWidth="1"/>
    <col min="7434" max="7667" width="7.85546875" style="19"/>
    <col min="7668" max="7670" width="0" style="19" hidden="1" customWidth="1"/>
    <col min="7671" max="7671" width="12.7109375" style="19" customWidth="1"/>
    <col min="7672" max="7672" width="0" style="19" hidden="1" customWidth="1"/>
    <col min="7673" max="7673" width="42.140625" style="19" customWidth="1"/>
    <col min="7674" max="7674" width="13.140625" style="19" customWidth="1"/>
    <col min="7675" max="7676" width="12.7109375" style="19" customWidth="1"/>
    <col min="7677" max="7677" width="12.85546875" style="19" customWidth="1"/>
    <col min="7678" max="7678" width="11.28515625" style="19" customWidth="1"/>
    <col min="7679" max="7679" width="10" style="19" customWidth="1"/>
    <col min="7680" max="7680" width="9.85546875" style="19" customWidth="1"/>
    <col min="7681" max="7681" width="11.42578125" style="19" customWidth="1"/>
    <col min="7682" max="7682" width="13.85546875" style="19" customWidth="1"/>
    <col min="7683" max="7683" width="10.42578125" style="19" customWidth="1"/>
    <col min="7684" max="7684" width="10.5703125" style="19" customWidth="1"/>
    <col min="7685" max="7685" width="13.28515625" style="19" customWidth="1"/>
    <col min="7686" max="7686" width="15.85546875" style="19" customWidth="1"/>
    <col min="7687" max="7687" width="12.7109375" style="19" customWidth="1"/>
    <col min="7688" max="7688" width="11.85546875" style="19" customWidth="1"/>
    <col min="7689" max="7689" width="17.5703125" style="19" customWidth="1"/>
    <col min="7690" max="7923" width="7.85546875" style="19"/>
    <col min="7924" max="7926" width="0" style="19" hidden="1" customWidth="1"/>
    <col min="7927" max="7927" width="12.7109375" style="19" customWidth="1"/>
    <col min="7928" max="7928" width="0" style="19" hidden="1" customWidth="1"/>
    <col min="7929" max="7929" width="42.140625" style="19" customWidth="1"/>
    <col min="7930" max="7930" width="13.140625" style="19" customWidth="1"/>
    <col min="7931" max="7932" width="12.7109375" style="19" customWidth="1"/>
    <col min="7933" max="7933" width="12.85546875" style="19" customWidth="1"/>
    <col min="7934" max="7934" width="11.28515625" style="19" customWidth="1"/>
    <col min="7935" max="7935" width="10" style="19" customWidth="1"/>
    <col min="7936" max="7936" width="9.85546875" style="19" customWidth="1"/>
    <col min="7937" max="7937" width="11.42578125" style="19" customWidth="1"/>
    <col min="7938" max="7938" width="13.85546875" style="19" customWidth="1"/>
    <col min="7939" max="7939" width="10.42578125" style="19" customWidth="1"/>
    <col min="7940" max="7940" width="10.5703125" style="19" customWidth="1"/>
    <col min="7941" max="7941" width="13.28515625" style="19" customWidth="1"/>
    <col min="7942" max="7942" width="15.85546875" style="19" customWidth="1"/>
    <col min="7943" max="7943" width="12.7109375" style="19" customWidth="1"/>
    <col min="7944" max="7944" width="11.85546875" style="19" customWidth="1"/>
    <col min="7945" max="7945" width="17.5703125" style="19" customWidth="1"/>
    <col min="7946" max="8179" width="7.85546875" style="19"/>
    <col min="8180" max="8182" width="0" style="19" hidden="1" customWidth="1"/>
    <col min="8183" max="8183" width="12.7109375" style="19" customWidth="1"/>
    <col min="8184" max="8184" width="0" style="19" hidden="1" customWidth="1"/>
    <col min="8185" max="8185" width="42.140625" style="19" customWidth="1"/>
    <col min="8186" max="8186" width="13.140625" style="19" customWidth="1"/>
    <col min="8187" max="8188" width="12.7109375" style="19" customWidth="1"/>
    <col min="8189" max="8189" width="12.85546875" style="19" customWidth="1"/>
    <col min="8190" max="8190" width="11.28515625" style="19" customWidth="1"/>
    <col min="8191" max="8191" width="10" style="19" customWidth="1"/>
    <col min="8192" max="8192" width="9.85546875" style="19" customWidth="1"/>
    <col min="8193" max="8193" width="11.42578125" style="19" customWidth="1"/>
    <col min="8194" max="8194" width="13.85546875" style="19" customWidth="1"/>
    <col min="8195" max="8195" width="10.42578125" style="19" customWidth="1"/>
    <col min="8196" max="8196" width="10.5703125" style="19" customWidth="1"/>
    <col min="8197" max="8197" width="13.28515625" style="19" customWidth="1"/>
    <col min="8198" max="8198" width="15.85546875" style="19" customWidth="1"/>
    <col min="8199" max="8199" width="12.7109375" style="19" customWidth="1"/>
    <col min="8200" max="8200" width="11.85546875" style="19" customWidth="1"/>
    <col min="8201" max="8201" width="17.5703125" style="19" customWidth="1"/>
    <col min="8202" max="8435" width="7.85546875" style="19"/>
    <col min="8436" max="8438" width="0" style="19" hidden="1" customWidth="1"/>
    <col min="8439" max="8439" width="12.7109375" style="19" customWidth="1"/>
    <col min="8440" max="8440" width="0" style="19" hidden="1" customWidth="1"/>
    <col min="8441" max="8441" width="42.140625" style="19" customWidth="1"/>
    <col min="8442" max="8442" width="13.140625" style="19" customWidth="1"/>
    <col min="8443" max="8444" width="12.7109375" style="19" customWidth="1"/>
    <col min="8445" max="8445" width="12.85546875" style="19" customWidth="1"/>
    <col min="8446" max="8446" width="11.28515625" style="19" customWidth="1"/>
    <col min="8447" max="8447" width="10" style="19" customWidth="1"/>
    <col min="8448" max="8448" width="9.85546875" style="19" customWidth="1"/>
    <col min="8449" max="8449" width="11.42578125" style="19" customWidth="1"/>
    <col min="8450" max="8450" width="13.85546875" style="19" customWidth="1"/>
    <col min="8451" max="8451" width="10.42578125" style="19" customWidth="1"/>
    <col min="8452" max="8452" width="10.5703125" style="19" customWidth="1"/>
    <col min="8453" max="8453" width="13.28515625" style="19" customWidth="1"/>
    <col min="8454" max="8454" width="15.85546875" style="19" customWidth="1"/>
    <col min="8455" max="8455" width="12.7109375" style="19" customWidth="1"/>
    <col min="8456" max="8456" width="11.85546875" style="19" customWidth="1"/>
    <col min="8457" max="8457" width="17.5703125" style="19" customWidth="1"/>
    <col min="8458" max="8691" width="7.85546875" style="19"/>
    <col min="8692" max="8694" width="0" style="19" hidden="1" customWidth="1"/>
    <col min="8695" max="8695" width="12.7109375" style="19" customWidth="1"/>
    <col min="8696" max="8696" width="0" style="19" hidden="1" customWidth="1"/>
    <col min="8697" max="8697" width="42.140625" style="19" customWidth="1"/>
    <col min="8698" max="8698" width="13.140625" style="19" customWidth="1"/>
    <col min="8699" max="8700" width="12.7109375" style="19" customWidth="1"/>
    <col min="8701" max="8701" width="12.85546875" style="19" customWidth="1"/>
    <col min="8702" max="8702" width="11.28515625" style="19" customWidth="1"/>
    <col min="8703" max="8703" width="10" style="19" customWidth="1"/>
    <col min="8704" max="8704" width="9.85546875" style="19" customWidth="1"/>
    <col min="8705" max="8705" width="11.42578125" style="19" customWidth="1"/>
    <col min="8706" max="8706" width="13.85546875" style="19" customWidth="1"/>
    <col min="8707" max="8707" width="10.42578125" style="19" customWidth="1"/>
    <col min="8708" max="8708" width="10.5703125" style="19" customWidth="1"/>
    <col min="8709" max="8709" width="13.28515625" style="19" customWidth="1"/>
    <col min="8710" max="8710" width="15.85546875" style="19" customWidth="1"/>
    <col min="8711" max="8711" width="12.7109375" style="19" customWidth="1"/>
    <col min="8712" max="8712" width="11.85546875" style="19" customWidth="1"/>
    <col min="8713" max="8713" width="17.5703125" style="19" customWidth="1"/>
    <col min="8714" max="8947" width="7.85546875" style="19"/>
    <col min="8948" max="8950" width="0" style="19" hidden="1" customWidth="1"/>
    <col min="8951" max="8951" width="12.7109375" style="19" customWidth="1"/>
    <col min="8952" max="8952" width="0" style="19" hidden="1" customWidth="1"/>
    <col min="8953" max="8953" width="42.140625" style="19" customWidth="1"/>
    <col min="8954" max="8954" width="13.140625" style="19" customWidth="1"/>
    <col min="8955" max="8956" width="12.7109375" style="19" customWidth="1"/>
    <col min="8957" max="8957" width="12.85546875" style="19" customWidth="1"/>
    <col min="8958" max="8958" width="11.28515625" style="19" customWidth="1"/>
    <col min="8959" max="8959" width="10" style="19" customWidth="1"/>
    <col min="8960" max="8960" width="9.85546875" style="19" customWidth="1"/>
    <col min="8961" max="8961" width="11.42578125" style="19" customWidth="1"/>
    <col min="8962" max="8962" width="13.85546875" style="19" customWidth="1"/>
    <col min="8963" max="8963" width="10.42578125" style="19" customWidth="1"/>
    <col min="8964" max="8964" width="10.5703125" style="19" customWidth="1"/>
    <col min="8965" max="8965" width="13.28515625" style="19" customWidth="1"/>
    <col min="8966" max="8966" width="15.85546875" style="19" customWidth="1"/>
    <col min="8967" max="8967" width="12.7109375" style="19" customWidth="1"/>
    <col min="8968" max="8968" width="11.85546875" style="19" customWidth="1"/>
    <col min="8969" max="8969" width="17.5703125" style="19" customWidth="1"/>
    <col min="8970" max="9203" width="7.85546875" style="19"/>
    <col min="9204" max="9206" width="0" style="19" hidden="1" customWidth="1"/>
    <col min="9207" max="9207" width="12.7109375" style="19" customWidth="1"/>
    <col min="9208" max="9208" width="0" style="19" hidden="1" customWidth="1"/>
    <col min="9209" max="9209" width="42.140625" style="19" customWidth="1"/>
    <col min="9210" max="9210" width="13.140625" style="19" customWidth="1"/>
    <col min="9211" max="9212" width="12.7109375" style="19" customWidth="1"/>
    <col min="9213" max="9213" width="12.85546875" style="19" customWidth="1"/>
    <col min="9214" max="9214" width="11.28515625" style="19" customWidth="1"/>
    <col min="9215" max="9215" width="10" style="19" customWidth="1"/>
    <col min="9216" max="9216" width="9.85546875" style="19" customWidth="1"/>
    <col min="9217" max="9217" width="11.42578125" style="19" customWidth="1"/>
    <col min="9218" max="9218" width="13.85546875" style="19" customWidth="1"/>
    <col min="9219" max="9219" width="10.42578125" style="19" customWidth="1"/>
    <col min="9220" max="9220" width="10.5703125" style="19" customWidth="1"/>
    <col min="9221" max="9221" width="13.28515625" style="19" customWidth="1"/>
    <col min="9222" max="9222" width="15.85546875" style="19" customWidth="1"/>
    <col min="9223" max="9223" width="12.7109375" style="19" customWidth="1"/>
    <col min="9224" max="9224" width="11.85546875" style="19" customWidth="1"/>
    <col min="9225" max="9225" width="17.5703125" style="19" customWidth="1"/>
    <col min="9226" max="9459" width="7.85546875" style="19"/>
    <col min="9460" max="9462" width="0" style="19" hidden="1" customWidth="1"/>
    <col min="9463" max="9463" width="12.7109375" style="19" customWidth="1"/>
    <col min="9464" max="9464" width="0" style="19" hidden="1" customWidth="1"/>
    <col min="9465" max="9465" width="42.140625" style="19" customWidth="1"/>
    <col min="9466" max="9466" width="13.140625" style="19" customWidth="1"/>
    <col min="9467" max="9468" width="12.7109375" style="19" customWidth="1"/>
    <col min="9469" max="9469" width="12.85546875" style="19" customWidth="1"/>
    <col min="9470" max="9470" width="11.28515625" style="19" customWidth="1"/>
    <col min="9471" max="9471" width="10" style="19" customWidth="1"/>
    <col min="9472" max="9472" width="9.85546875" style="19" customWidth="1"/>
    <col min="9473" max="9473" width="11.42578125" style="19" customWidth="1"/>
    <col min="9474" max="9474" width="13.85546875" style="19" customWidth="1"/>
    <col min="9475" max="9475" width="10.42578125" style="19" customWidth="1"/>
    <col min="9476" max="9476" width="10.5703125" style="19" customWidth="1"/>
    <col min="9477" max="9477" width="13.28515625" style="19" customWidth="1"/>
    <col min="9478" max="9478" width="15.85546875" style="19" customWidth="1"/>
    <col min="9479" max="9479" width="12.7109375" style="19" customWidth="1"/>
    <col min="9480" max="9480" width="11.85546875" style="19" customWidth="1"/>
    <col min="9481" max="9481" width="17.5703125" style="19" customWidth="1"/>
    <col min="9482" max="9715" width="7.85546875" style="19"/>
    <col min="9716" max="9718" width="0" style="19" hidden="1" customWidth="1"/>
    <col min="9719" max="9719" width="12.7109375" style="19" customWidth="1"/>
    <col min="9720" max="9720" width="0" style="19" hidden="1" customWidth="1"/>
    <col min="9721" max="9721" width="42.140625" style="19" customWidth="1"/>
    <col min="9722" max="9722" width="13.140625" style="19" customWidth="1"/>
    <col min="9723" max="9724" width="12.7109375" style="19" customWidth="1"/>
    <col min="9725" max="9725" width="12.85546875" style="19" customWidth="1"/>
    <col min="9726" max="9726" width="11.28515625" style="19" customWidth="1"/>
    <col min="9727" max="9727" width="10" style="19" customWidth="1"/>
    <col min="9728" max="9728" width="9.85546875" style="19" customWidth="1"/>
    <col min="9729" max="9729" width="11.42578125" style="19" customWidth="1"/>
    <col min="9730" max="9730" width="13.85546875" style="19" customWidth="1"/>
    <col min="9731" max="9731" width="10.42578125" style="19" customWidth="1"/>
    <col min="9732" max="9732" width="10.5703125" style="19" customWidth="1"/>
    <col min="9733" max="9733" width="13.28515625" style="19" customWidth="1"/>
    <col min="9734" max="9734" width="15.85546875" style="19" customWidth="1"/>
    <col min="9735" max="9735" width="12.7109375" style="19" customWidth="1"/>
    <col min="9736" max="9736" width="11.85546875" style="19" customWidth="1"/>
    <col min="9737" max="9737" width="17.5703125" style="19" customWidth="1"/>
    <col min="9738" max="9971" width="7.85546875" style="19"/>
    <col min="9972" max="9974" width="0" style="19" hidden="1" customWidth="1"/>
    <col min="9975" max="9975" width="12.7109375" style="19" customWidth="1"/>
    <col min="9976" max="9976" width="0" style="19" hidden="1" customWidth="1"/>
    <col min="9977" max="9977" width="42.140625" style="19" customWidth="1"/>
    <col min="9978" max="9978" width="13.140625" style="19" customWidth="1"/>
    <col min="9979" max="9980" width="12.7109375" style="19" customWidth="1"/>
    <col min="9981" max="9981" width="12.85546875" style="19" customWidth="1"/>
    <col min="9982" max="9982" width="11.28515625" style="19" customWidth="1"/>
    <col min="9983" max="9983" width="10" style="19" customWidth="1"/>
    <col min="9984" max="9984" width="9.85546875" style="19" customWidth="1"/>
    <col min="9985" max="9985" width="11.42578125" style="19" customWidth="1"/>
    <col min="9986" max="9986" width="13.85546875" style="19" customWidth="1"/>
    <col min="9987" max="9987" width="10.42578125" style="19" customWidth="1"/>
    <col min="9988" max="9988" width="10.5703125" style="19" customWidth="1"/>
    <col min="9989" max="9989" width="13.28515625" style="19" customWidth="1"/>
    <col min="9990" max="9990" width="15.85546875" style="19" customWidth="1"/>
    <col min="9991" max="9991" width="12.7109375" style="19" customWidth="1"/>
    <col min="9992" max="9992" width="11.85546875" style="19" customWidth="1"/>
    <col min="9993" max="9993" width="17.5703125" style="19" customWidth="1"/>
    <col min="9994" max="10227" width="7.85546875" style="19"/>
    <col min="10228" max="10230" width="0" style="19" hidden="1" customWidth="1"/>
    <col min="10231" max="10231" width="12.7109375" style="19" customWidth="1"/>
    <col min="10232" max="10232" width="0" style="19" hidden="1" customWidth="1"/>
    <col min="10233" max="10233" width="42.140625" style="19" customWidth="1"/>
    <col min="10234" max="10234" width="13.140625" style="19" customWidth="1"/>
    <col min="10235" max="10236" width="12.7109375" style="19" customWidth="1"/>
    <col min="10237" max="10237" width="12.85546875" style="19" customWidth="1"/>
    <col min="10238" max="10238" width="11.28515625" style="19" customWidth="1"/>
    <col min="10239" max="10239" width="10" style="19" customWidth="1"/>
    <col min="10240" max="10240" width="9.85546875" style="19" customWidth="1"/>
    <col min="10241" max="10241" width="11.42578125" style="19" customWidth="1"/>
    <col min="10242" max="10242" width="13.85546875" style="19" customWidth="1"/>
    <col min="10243" max="10243" width="10.42578125" style="19" customWidth="1"/>
    <col min="10244" max="10244" width="10.5703125" style="19" customWidth="1"/>
    <col min="10245" max="10245" width="13.28515625" style="19" customWidth="1"/>
    <col min="10246" max="10246" width="15.85546875" style="19" customWidth="1"/>
    <col min="10247" max="10247" width="12.7109375" style="19" customWidth="1"/>
    <col min="10248" max="10248" width="11.85546875" style="19" customWidth="1"/>
    <col min="10249" max="10249" width="17.5703125" style="19" customWidth="1"/>
    <col min="10250" max="10483" width="7.85546875" style="19"/>
    <col min="10484" max="10486" width="0" style="19" hidden="1" customWidth="1"/>
    <col min="10487" max="10487" width="12.7109375" style="19" customWidth="1"/>
    <col min="10488" max="10488" width="0" style="19" hidden="1" customWidth="1"/>
    <col min="10489" max="10489" width="42.140625" style="19" customWidth="1"/>
    <col min="10490" max="10490" width="13.140625" style="19" customWidth="1"/>
    <col min="10491" max="10492" width="12.7109375" style="19" customWidth="1"/>
    <col min="10493" max="10493" width="12.85546875" style="19" customWidth="1"/>
    <col min="10494" max="10494" width="11.28515625" style="19" customWidth="1"/>
    <col min="10495" max="10495" width="10" style="19" customWidth="1"/>
    <col min="10496" max="10496" width="9.85546875" style="19" customWidth="1"/>
    <col min="10497" max="10497" width="11.42578125" style="19" customWidth="1"/>
    <col min="10498" max="10498" width="13.85546875" style="19" customWidth="1"/>
    <col min="10499" max="10499" width="10.42578125" style="19" customWidth="1"/>
    <col min="10500" max="10500" width="10.5703125" style="19" customWidth="1"/>
    <col min="10501" max="10501" width="13.28515625" style="19" customWidth="1"/>
    <col min="10502" max="10502" width="15.85546875" style="19" customWidth="1"/>
    <col min="10503" max="10503" width="12.7109375" style="19" customWidth="1"/>
    <col min="10504" max="10504" width="11.85546875" style="19" customWidth="1"/>
    <col min="10505" max="10505" width="17.5703125" style="19" customWidth="1"/>
    <col min="10506" max="10739" width="7.85546875" style="19"/>
    <col min="10740" max="10742" width="0" style="19" hidden="1" customWidth="1"/>
    <col min="10743" max="10743" width="12.7109375" style="19" customWidth="1"/>
    <col min="10744" max="10744" width="0" style="19" hidden="1" customWidth="1"/>
    <col min="10745" max="10745" width="42.140625" style="19" customWidth="1"/>
    <col min="10746" max="10746" width="13.140625" style="19" customWidth="1"/>
    <col min="10747" max="10748" width="12.7109375" style="19" customWidth="1"/>
    <col min="10749" max="10749" width="12.85546875" style="19" customWidth="1"/>
    <col min="10750" max="10750" width="11.28515625" style="19" customWidth="1"/>
    <col min="10751" max="10751" width="10" style="19" customWidth="1"/>
    <col min="10752" max="10752" width="9.85546875" style="19" customWidth="1"/>
    <col min="10753" max="10753" width="11.42578125" style="19" customWidth="1"/>
    <col min="10754" max="10754" width="13.85546875" style="19" customWidth="1"/>
    <col min="10755" max="10755" width="10.42578125" style="19" customWidth="1"/>
    <col min="10756" max="10756" width="10.5703125" style="19" customWidth="1"/>
    <col min="10757" max="10757" width="13.28515625" style="19" customWidth="1"/>
    <col min="10758" max="10758" width="15.85546875" style="19" customWidth="1"/>
    <col min="10759" max="10759" width="12.7109375" style="19" customWidth="1"/>
    <col min="10760" max="10760" width="11.85546875" style="19" customWidth="1"/>
    <col min="10761" max="10761" width="17.5703125" style="19" customWidth="1"/>
    <col min="10762" max="10995" width="7.85546875" style="19"/>
    <col min="10996" max="10998" width="0" style="19" hidden="1" customWidth="1"/>
    <col min="10999" max="10999" width="12.7109375" style="19" customWidth="1"/>
    <col min="11000" max="11000" width="0" style="19" hidden="1" customWidth="1"/>
    <col min="11001" max="11001" width="42.140625" style="19" customWidth="1"/>
    <col min="11002" max="11002" width="13.140625" style="19" customWidth="1"/>
    <col min="11003" max="11004" width="12.7109375" style="19" customWidth="1"/>
    <col min="11005" max="11005" width="12.85546875" style="19" customWidth="1"/>
    <col min="11006" max="11006" width="11.28515625" style="19" customWidth="1"/>
    <col min="11007" max="11007" width="10" style="19" customWidth="1"/>
    <col min="11008" max="11008" width="9.85546875" style="19" customWidth="1"/>
    <col min="11009" max="11009" width="11.42578125" style="19" customWidth="1"/>
    <col min="11010" max="11010" width="13.85546875" style="19" customWidth="1"/>
    <col min="11011" max="11011" width="10.42578125" style="19" customWidth="1"/>
    <col min="11012" max="11012" width="10.5703125" style="19" customWidth="1"/>
    <col min="11013" max="11013" width="13.28515625" style="19" customWidth="1"/>
    <col min="11014" max="11014" width="15.85546875" style="19" customWidth="1"/>
    <col min="11015" max="11015" width="12.7109375" style="19" customWidth="1"/>
    <col min="11016" max="11016" width="11.85546875" style="19" customWidth="1"/>
    <col min="11017" max="11017" width="17.5703125" style="19" customWidth="1"/>
    <col min="11018" max="11251" width="7.85546875" style="19"/>
    <col min="11252" max="11254" width="0" style="19" hidden="1" customWidth="1"/>
    <col min="11255" max="11255" width="12.7109375" style="19" customWidth="1"/>
    <col min="11256" max="11256" width="0" style="19" hidden="1" customWidth="1"/>
    <col min="11257" max="11257" width="42.140625" style="19" customWidth="1"/>
    <col min="11258" max="11258" width="13.140625" style="19" customWidth="1"/>
    <col min="11259" max="11260" width="12.7109375" style="19" customWidth="1"/>
    <col min="11261" max="11261" width="12.85546875" style="19" customWidth="1"/>
    <col min="11262" max="11262" width="11.28515625" style="19" customWidth="1"/>
    <col min="11263" max="11263" width="10" style="19" customWidth="1"/>
    <col min="11264" max="11264" width="9.85546875" style="19" customWidth="1"/>
    <col min="11265" max="11265" width="11.42578125" style="19" customWidth="1"/>
    <col min="11266" max="11266" width="13.85546875" style="19" customWidth="1"/>
    <col min="11267" max="11267" width="10.42578125" style="19" customWidth="1"/>
    <col min="11268" max="11268" width="10.5703125" style="19" customWidth="1"/>
    <col min="11269" max="11269" width="13.28515625" style="19" customWidth="1"/>
    <col min="11270" max="11270" width="15.85546875" style="19" customWidth="1"/>
    <col min="11271" max="11271" width="12.7109375" style="19" customWidth="1"/>
    <col min="11272" max="11272" width="11.85546875" style="19" customWidth="1"/>
    <col min="11273" max="11273" width="17.5703125" style="19" customWidth="1"/>
    <col min="11274" max="11507" width="7.85546875" style="19"/>
    <col min="11508" max="11510" width="0" style="19" hidden="1" customWidth="1"/>
    <col min="11511" max="11511" width="12.7109375" style="19" customWidth="1"/>
    <col min="11512" max="11512" width="0" style="19" hidden="1" customWidth="1"/>
    <col min="11513" max="11513" width="42.140625" style="19" customWidth="1"/>
    <col min="11514" max="11514" width="13.140625" style="19" customWidth="1"/>
    <col min="11515" max="11516" width="12.7109375" style="19" customWidth="1"/>
    <col min="11517" max="11517" width="12.85546875" style="19" customWidth="1"/>
    <col min="11518" max="11518" width="11.28515625" style="19" customWidth="1"/>
    <col min="11519" max="11519" width="10" style="19" customWidth="1"/>
    <col min="11520" max="11520" width="9.85546875" style="19" customWidth="1"/>
    <col min="11521" max="11521" width="11.42578125" style="19" customWidth="1"/>
    <col min="11522" max="11522" width="13.85546875" style="19" customWidth="1"/>
    <col min="11523" max="11523" width="10.42578125" style="19" customWidth="1"/>
    <col min="11524" max="11524" width="10.5703125" style="19" customWidth="1"/>
    <col min="11525" max="11525" width="13.28515625" style="19" customWidth="1"/>
    <col min="11526" max="11526" width="15.85546875" style="19" customWidth="1"/>
    <col min="11527" max="11527" width="12.7109375" style="19" customWidth="1"/>
    <col min="11528" max="11528" width="11.85546875" style="19" customWidth="1"/>
    <col min="11529" max="11529" width="17.5703125" style="19" customWidth="1"/>
    <col min="11530" max="11763" width="7.85546875" style="19"/>
    <col min="11764" max="11766" width="0" style="19" hidden="1" customWidth="1"/>
    <col min="11767" max="11767" width="12.7109375" style="19" customWidth="1"/>
    <col min="11768" max="11768" width="0" style="19" hidden="1" customWidth="1"/>
    <col min="11769" max="11769" width="42.140625" style="19" customWidth="1"/>
    <col min="11770" max="11770" width="13.140625" style="19" customWidth="1"/>
    <col min="11771" max="11772" width="12.7109375" style="19" customWidth="1"/>
    <col min="11773" max="11773" width="12.85546875" style="19" customWidth="1"/>
    <col min="11774" max="11774" width="11.28515625" style="19" customWidth="1"/>
    <col min="11775" max="11775" width="10" style="19" customWidth="1"/>
    <col min="11776" max="11776" width="9.85546875" style="19" customWidth="1"/>
    <col min="11777" max="11777" width="11.42578125" style="19" customWidth="1"/>
    <col min="11778" max="11778" width="13.85546875" style="19" customWidth="1"/>
    <col min="11779" max="11779" width="10.42578125" style="19" customWidth="1"/>
    <col min="11780" max="11780" width="10.5703125" style="19" customWidth="1"/>
    <col min="11781" max="11781" width="13.28515625" style="19" customWidth="1"/>
    <col min="11782" max="11782" width="15.85546875" style="19" customWidth="1"/>
    <col min="11783" max="11783" width="12.7109375" style="19" customWidth="1"/>
    <col min="11784" max="11784" width="11.85546875" style="19" customWidth="1"/>
    <col min="11785" max="11785" width="17.5703125" style="19" customWidth="1"/>
    <col min="11786" max="12019" width="7.85546875" style="19"/>
    <col min="12020" max="12022" width="0" style="19" hidden="1" customWidth="1"/>
    <col min="12023" max="12023" width="12.7109375" style="19" customWidth="1"/>
    <col min="12024" max="12024" width="0" style="19" hidden="1" customWidth="1"/>
    <col min="12025" max="12025" width="42.140625" style="19" customWidth="1"/>
    <col min="12026" max="12026" width="13.140625" style="19" customWidth="1"/>
    <col min="12027" max="12028" width="12.7109375" style="19" customWidth="1"/>
    <col min="12029" max="12029" width="12.85546875" style="19" customWidth="1"/>
    <col min="12030" max="12030" width="11.28515625" style="19" customWidth="1"/>
    <col min="12031" max="12031" width="10" style="19" customWidth="1"/>
    <col min="12032" max="12032" width="9.85546875" style="19" customWidth="1"/>
    <col min="12033" max="12033" width="11.42578125" style="19" customWidth="1"/>
    <col min="12034" max="12034" width="13.85546875" style="19" customWidth="1"/>
    <col min="12035" max="12035" width="10.42578125" style="19" customWidth="1"/>
    <col min="12036" max="12036" width="10.5703125" style="19" customWidth="1"/>
    <col min="12037" max="12037" width="13.28515625" style="19" customWidth="1"/>
    <col min="12038" max="12038" width="15.85546875" style="19" customWidth="1"/>
    <col min="12039" max="12039" width="12.7109375" style="19" customWidth="1"/>
    <col min="12040" max="12040" width="11.85546875" style="19" customWidth="1"/>
    <col min="12041" max="12041" width="17.5703125" style="19" customWidth="1"/>
    <col min="12042" max="12275" width="7.85546875" style="19"/>
    <col min="12276" max="12278" width="0" style="19" hidden="1" customWidth="1"/>
    <col min="12279" max="12279" width="12.7109375" style="19" customWidth="1"/>
    <col min="12280" max="12280" width="0" style="19" hidden="1" customWidth="1"/>
    <col min="12281" max="12281" width="42.140625" style="19" customWidth="1"/>
    <col min="12282" max="12282" width="13.140625" style="19" customWidth="1"/>
    <col min="12283" max="12284" width="12.7109375" style="19" customWidth="1"/>
    <col min="12285" max="12285" width="12.85546875" style="19" customWidth="1"/>
    <col min="12286" max="12286" width="11.28515625" style="19" customWidth="1"/>
    <col min="12287" max="12287" width="10" style="19" customWidth="1"/>
    <col min="12288" max="12288" width="9.85546875" style="19" customWidth="1"/>
    <col min="12289" max="12289" width="11.42578125" style="19" customWidth="1"/>
    <col min="12290" max="12290" width="13.85546875" style="19" customWidth="1"/>
    <col min="12291" max="12291" width="10.42578125" style="19" customWidth="1"/>
    <col min="12292" max="12292" width="10.5703125" style="19" customWidth="1"/>
    <col min="12293" max="12293" width="13.28515625" style="19" customWidth="1"/>
    <col min="12294" max="12294" width="15.85546875" style="19" customWidth="1"/>
    <col min="12295" max="12295" width="12.7109375" style="19" customWidth="1"/>
    <col min="12296" max="12296" width="11.85546875" style="19" customWidth="1"/>
    <col min="12297" max="12297" width="17.5703125" style="19" customWidth="1"/>
    <col min="12298" max="12531" width="7.85546875" style="19"/>
    <col min="12532" max="12534" width="0" style="19" hidden="1" customWidth="1"/>
    <col min="12535" max="12535" width="12.7109375" style="19" customWidth="1"/>
    <col min="12536" max="12536" width="0" style="19" hidden="1" customWidth="1"/>
    <col min="12537" max="12537" width="42.140625" style="19" customWidth="1"/>
    <col min="12538" max="12538" width="13.140625" style="19" customWidth="1"/>
    <col min="12539" max="12540" width="12.7109375" style="19" customWidth="1"/>
    <col min="12541" max="12541" width="12.85546875" style="19" customWidth="1"/>
    <col min="12542" max="12542" width="11.28515625" style="19" customWidth="1"/>
    <col min="12543" max="12543" width="10" style="19" customWidth="1"/>
    <col min="12544" max="12544" width="9.85546875" style="19" customWidth="1"/>
    <col min="12545" max="12545" width="11.42578125" style="19" customWidth="1"/>
    <col min="12546" max="12546" width="13.85546875" style="19" customWidth="1"/>
    <col min="12547" max="12547" width="10.42578125" style="19" customWidth="1"/>
    <col min="12548" max="12548" width="10.5703125" style="19" customWidth="1"/>
    <col min="12549" max="12549" width="13.28515625" style="19" customWidth="1"/>
    <col min="12550" max="12550" width="15.85546875" style="19" customWidth="1"/>
    <col min="12551" max="12551" width="12.7109375" style="19" customWidth="1"/>
    <col min="12552" max="12552" width="11.85546875" style="19" customWidth="1"/>
    <col min="12553" max="12553" width="17.5703125" style="19" customWidth="1"/>
    <col min="12554" max="12787" width="7.85546875" style="19"/>
    <col min="12788" max="12790" width="0" style="19" hidden="1" customWidth="1"/>
    <col min="12791" max="12791" width="12.7109375" style="19" customWidth="1"/>
    <col min="12792" max="12792" width="0" style="19" hidden="1" customWidth="1"/>
    <col min="12793" max="12793" width="42.140625" style="19" customWidth="1"/>
    <col min="12794" max="12794" width="13.140625" style="19" customWidth="1"/>
    <col min="12795" max="12796" width="12.7109375" style="19" customWidth="1"/>
    <col min="12797" max="12797" width="12.85546875" style="19" customWidth="1"/>
    <col min="12798" max="12798" width="11.28515625" style="19" customWidth="1"/>
    <col min="12799" max="12799" width="10" style="19" customWidth="1"/>
    <col min="12800" max="12800" width="9.85546875" style="19" customWidth="1"/>
    <col min="12801" max="12801" width="11.42578125" style="19" customWidth="1"/>
    <col min="12802" max="12802" width="13.85546875" style="19" customWidth="1"/>
    <col min="12803" max="12803" width="10.42578125" style="19" customWidth="1"/>
    <col min="12804" max="12804" width="10.5703125" style="19" customWidth="1"/>
    <col min="12805" max="12805" width="13.28515625" style="19" customWidth="1"/>
    <col min="12806" max="12806" width="15.85546875" style="19" customWidth="1"/>
    <col min="12807" max="12807" width="12.7109375" style="19" customWidth="1"/>
    <col min="12808" max="12808" width="11.85546875" style="19" customWidth="1"/>
    <col min="12809" max="12809" width="17.5703125" style="19" customWidth="1"/>
    <col min="12810" max="13043" width="7.85546875" style="19"/>
    <col min="13044" max="13046" width="0" style="19" hidden="1" customWidth="1"/>
    <col min="13047" max="13047" width="12.7109375" style="19" customWidth="1"/>
    <col min="13048" max="13048" width="0" style="19" hidden="1" customWidth="1"/>
    <col min="13049" max="13049" width="42.140625" style="19" customWidth="1"/>
    <col min="13050" max="13050" width="13.140625" style="19" customWidth="1"/>
    <col min="13051" max="13052" width="12.7109375" style="19" customWidth="1"/>
    <col min="13053" max="13053" width="12.85546875" style="19" customWidth="1"/>
    <col min="13054" max="13054" width="11.28515625" style="19" customWidth="1"/>
    <col min="13055" max="13055" width="10" style="19" customWidth="1"/>
    <col min="13056" max="13056" width="9.85546875" style="19" customWidth="1"/>
    <col min="13057" max="13057" width="11.42578125" style="19" customWidth="1"/>
    <col min="13058" max="13058" width="13.85546875" style="19" customWidth="1"/>
    <col min="13059" max="13059" width="10.42578125" style="19" customWidth="1"/>
    <col min="13060" max="13060" width="10.5703125" style="19" customWidth="1"/>
    <col min="13061" max="13061" width="13.28515625" style="19" customWidth="1"/>
    <col min="13062" max="13062" width="15.85546875" style="19" customWidth="1"/>
    <col min="13063" max="13063" width="12.7109375" style="19" customWidth="1"/>
    <col min="13064" max="13064" width="11.85546875" style="19" customWidth="1"/>
    <col min="13065" max="13065" width="17.5703125" style="19" customWidth="1"/>
    <col min="13066" max="13299" width="7.85546875" style="19"/>
    <col min="13300" max="13302" width="0" style="19" hidden="1" customWidth="1"/>
    <col min="13303" max="13303" width="12.7109375" style="19" customWidth="1"/>
    <col min="13304" max="13304" width="0" style="19" hidden="1" customWidth="1"/>
    <col min="13305" max="13305" width="42.140625" style="19" customWidth="1"/>
    <col min="13306" max="13306" width="13.140625" style="19" customWidth="1"/>
    <col min="13307" max="13308" width="12.7109375" style="19" customWidth="1"/>
    <col min="13309" max="13309" width="12.85546875" style="19" customWidth="1"/>
    <col min="13310" max="13310" width="11.28515625" style="19" customWidth="1"/>
    <col min="13311" max="13311" width="10" style="19" customWidth="1"/>
    <col min="13312" max="13312" width="9.85546875" style="19" customWidth="1"/>
    <col min="13313" max="13313" width="11.42578125" style="19" customWidth="1"/>
    <col min="13314" max="13314" width="13.85546875" style="19" customWidth="1"/>
    <col min="13315" max="13315" width="10.42578125" style="19" customWidth="1"/>
    <col min="13316" max="13316" width="10.5703125" style="19" customWidth="1"/>
    <col min="13317" max="13317" width="13.28515625" style="19" customWidth="1"/>
    <col min="13318" max="13318" width="15.85546875" style="19" customWidth="1"/>
    <col min="13319" max="13319" width="12.7109375" style="19" customWidth="1"/>
    <col min="13320" max="13320" width="11.85546875" style="19" customWidth="1"/>
    <col min="13321" max="13321" width="17.5703125" style="19" customWidth="1"/>
    <col min="13322" max="13555" width="7.85546875" style="19"/>
    <col min="13556" max="13558" width="0" style="19" hidden="1" customWidth="1"/>
    <col min="13559" max="13559" width="12.7109375" style="19" customWidth="1"/>
    <col min="13560" max="13560" width="0" style="19" hidden="1" customWidth="1"/>
    <col min="13561" max="13561" width="42.140625" style="19" customWidth="1"/>
    <col min="13562" max="13562" width="13.140625" style="19" customWidth="1"/>
    <col min="13563" max="13564" width="12.7109375" style="19" customWidth="1"/>
    <col min="13565" max="13565" width="12.85546875" style="19" customWidth="1"/>
    <col min="13566" max="13566" width="11.28515625" style="19" customWidth="1"/>
    <col min="13567" max="13567" width="10" style="19" customWidth="1"/>
    <col min="13568" max="13568" width="9.85546875" style="19" customWidth="1"/>
    <col min="13569" max="13569" width="11.42578125" style="19" customWidth="1"/>
    <col min="13570" max="13570" width="13.85546875" style="19" customWidth="1"/>
    <col min="13571" max="13571" width="10.42578125" style="19" customWidth="1"/>
    <col min="13572" max="13572" width="10.5703125" style="19" customWidth="1"/>
    <col min="13573" max="13573" width="13.28515625" style="19" customWidth="1"/>
    <col min="13574" max="13574" width="15.85546875" style="19" customWidth="1"/>
    <col min="13575" max="13575" width="12.7109375" style="19" customWidth="1"/>
    <col min="13576" max="13576" width="11.85546875" style="19" customWidth="1"/>
    <col min="13577" max="13577" width="17.5703125" style="19" customWidth="1"/>
    <col min="13578" max="13811" width="7.85546875" style="19"/>
    <col min="13812" max="13814" width="0" style="19" hidden="1" customWidth="1"/>
    <col min="13815" max="13815" width="12.7109375" style="19" customWidth="1"/>
    <col min="13816" max="13816" width="0" style="19" hidden="1" customWidth="1"/>
    <col min="13817" max="13817" width="42.140625" style="19" customWidth="1"/>
    <col min="13818" max="13818" width="13.140625" style="19" customWidth="1"/>
    <col min="13819" max="13820" width="12.7109375" style="19" customWidth="1"/>
    <col min="13821" max="13821" width="12.85546875" style="19" customWidth="1"/>
    <col min="13822" max="13822" width="11.28515625" style="19" customWidth="1"/>
    <col min="13823" max="13823" width="10" style="19" customWidth="1"/>
    <col min="13824" max="13824" width="9.85546875" style="19" customWidth="1"/>
    <col min="13825" max="13825" width="11.42578125" style="19" customWidth="1"/>
    <col min="13826" max="13826" width="13.85546875" style="19" customWidth="1"/>
    <col min="13827" max="13827" width="10.42578125" style="19" customWidth="1"/>
    <col min="13828" max="13828" width="10.5703125" style="19" customWidth="1"/>
    <col min="13829" max="13829" width="13.28515625" style="19" customWidth="1"/>
    <col min="13830" max="13830" width="15.85546875" style="19" customWidth="1"/>
    <col min="13831" max="13831" width="12.7109375" style="19" customWidth="1"/>
    <col min="13832" max="13832" width="11.85546875" style="19" customWidth="1"/>
    <col min="13833" max="13833" width="17.5703125" style="19" customWidth="1"/>
    <col min="13834" max="14067" width="7.85546875" style="19"/>
    <col min="14068" max="14070" width="0" style="19" hidden="1" customWidth="1"/>
    <col min="14071" max="14071" width="12.7109375" style="19" customWidth="1"/>
    <col min="14072" max="14072" width="0" style="19" hidden="1" customWidth="1"/>
    <col min="14073" max="14073" width="42.140625" style="19" customWidth="1"/>
    <col min="14074" max="14074" width="13.140625" style="19" customWidth="1"/>
    <col min="14075" max="14076" width="12.7109375" style="19" customWidth="1"/>
    <col min="14077" max="14077" width="12.85546875" style="19" customWidth="1"/>
    <col min="14078" max="14078" width="11.28515625" style="19" customWidth="1"/>
    <col min="14079" max="14079" width="10" style="19" customWidth="1"/>
    <col min="14080" max="14080" width="9.85546875" style="19" customWidth="1"/>
    <col min="14081" max="14081" width="11.42578125" style="19" customWidth="1"/>
    <col min="14082" max="14082" width="13.85546875" style="19" customWidth="1"/>
    <col min="14083" max="14083" width="10.42578125" style="19" customWidth="1"/>
    <col min="14084" max="14084" width="10.5703125" style="19" customWidth="1"/>
    <col min="14085" max="14085" width="13.28515625" style="19" customWidth="1"/>
    <col min="14086" max="14086" width="15.85546875" style="19" customWidth="1"/>
    <col min="14087" max="14087" width="12.7109375" style="19" customWidth="1"/>
    <col min="14088" max="14088" width="11.85546875" style="19" customWidth="1"/>
    <col min="14089" max="14089" width="17.5703125" style="19" customWidth="1"/>
    <col min="14090" max="14323" width="7.85546875" style="19"/>
    <col min="14324" max="14326" width="0" style="19" hidden="1" customWidth="1"/>
    <col min="14327" max="14327" width="12.7109375" style="19" customWidth="1"/>
    <col min="14328" max="14328" width="0" style="19" hidden="1" customWidth="1"/>
    <col min="14329" max="14329" width="42.140625" style="19" customWidth="1"/>
    <col min="14330" max="14330" width="13.140625" style="19" customWidth="1"/>
    <col min="14331" max="14332" width="12.7109375" style="19" customWidth="1"/>
    <col min="14333" max="14333" width="12.85546875" style="19" customWidth="1"/>
    <col min="14334" max="14334" width="11.28515625" style="19" customWidth="1"/>
    <col min="14335" max="14335" width="10" style="19" customWidth="1"/>
    <col min="14336" max="14336" width="9.85546875" style="19" customWidth="1"/>
    <col min="14337" max="14337" width="11.42578125" style="19" customWidth="1"/>
    <col min="14338" max="14338" width="13.85546875" style="19" customWidth="1"/>
    <col min="14339" max="14339" width="10.42578125" style="19" customWidth="1"/>
    <col min="14340" max="14340" width="10.5703125" style="19" customWidth="1"/>
    <col min="14341" max="14341" width="13.28515625" style="19" customWidth="1"/>
    <col min="14342" max="14342" width="15.85546875" style="19" customWidth="1"/>
    <col min="14343" max="14343" width="12.7109375" style="19" customWidth="1"/>
    <col min="14344" max="14344" width="11.85546875" style="19" customWidth="1"/>
    <col min="14345" max="14345" width="17.5703125" style="19" customWidth="1"/>
    <col min="14346" max="14579" width="7.85546875" style="19"/>
    <col min="14580" max="14582" width="0" style="19" hidden="1" customWidth="1"/>
    <col min="14583" max="14583" width="12.7109375" style="19" customWidth="1"/>
    <col min="14584" max="14584" width="0" style="19" hidden="1" customWidth="1"/>
    <col min="14585" max="14585" width="42.140625" style="19" customWidth="1"/>
    <col min="14586" max="14586" width="13.140625" style="19" customWidth="1"/>
    <col min="14587" max="14588" width="12.7109375" style="19" customWidth="1"/>
    <col min="14589" max="14589" width="12.85546875" style="19" customWidth="1"/>
    <col min="14590" max="14590" width="11.28515625" style="19" customWidth="1"/>
    <col min="14591" max="14591" width="10" style="19" customWidth="1"/>
    <col min="14592" max="14592" width="9.85546875" style="19" customWidth="1"/>
    <col min="14593" max="14593" width="11.42578125" style="19" customWidth="1"/>
    <col min="14594" max="14594" width="13.85546875" style="19" customWidth="1"/>
    <col min="14595" max="14595" width="10.42578125" style="19" customWidth="1"/>
    <col min="14596" max="14596" width="10.5703125" style="19" customWidth="1"/>
    <col min="14597" max="14597" width="13.28515625" style="19" customWidth="1"/>
    <col min="14598" max="14598" width="15.85546875" style="19" customWidth="1"/>
    <col min="14599" max="14599" width="12.7109375" style="19" customWidth="1"/>
    <col min="14600" max="14600" width="11.85546875" style="19" customWidth="1"/>
    <col min="14601" max="14601" width="17.5703125" style="19" customWidth="1"/>
    <col min="14602" max="14835" width="7.85546875" style="19"/>
    <col min="14836" max="14838" width="0" style="19" hidden="1" customWidth="1"/>
    <col min="14839" max="14839" width="12.7109375" style="19" customWidth="1"/>
    <col min="14840" max="14840" width="0" style="19" hidden="1" customWidth="1"/>
    <col min="14841" max="14841" width="42.140625" style="19" customWidth="1"/>
    <col min="14842" max="14842" width="13.140625" style="19" customWidth="1"/>
    <col min="14843" max="14844" width="12.7109375" style="19" customWidth="1"/>
    <col min="14845" max="14845" width="12.85546875" style="19" customWidth="1"/>
    <col min="14846" max="14846" width="11.28515625" style="19" customWidth="1"/>
    <col min="14847" max="14847" width="10" style="19" customWidth="1"/>
    <col min="14848" max="14848" width="9.85546875" style="19" customWidth="1"/>
    <col min="14849" max="14849" width="11.42578125" style="19" customWidth="1"/>
    <col min="14850" max="14850" width="13.85546875" style="19" customWidth="1"/>
    <col min="14851" max="14851" width="10.42578125" style="19" customWidth="1"/>
    <col min="14852" max="14852" width="10.5703125" style="19" customWidth="1"/>
    <col min="14853" max="14853" width="13.28515625" style="19" customWidth="1"/>
    <col min="14854" max="14854" width="15.85546875" style="19" customWidth="1"/>
    <col min="14855" max="14855" width="12.7109375" style="19" customWidth="1"/>
    <col min="14856" max="14856" width="11.85546875" style="19" customWidth="1"/>
    <col min="14857" max="14857" width="17.5703125" style="19" customWidth="1"/>
    <col min="14858" max="15091" width="7.85546875" style="19"/>
    <col min="15092" max="15094" width="0" style="19" hidden="1" customWidth="1"/>
    <col min="15095" max="15095" width="12.7109375" style="19" customWidth="1"/>
    <col min="15096" max="15096" width="0" style="19" hidden="1" customWidth="1"/>
    <col min="15097" max="15097" width="42.140625" style="19" customWidth="1"/>
    <col min="15098" max="15098" width="13.140625" style="19" customWidth="1"/>
    <col min="15099" max="15100" width="12.7109375" style="19" customWidth="1"/>
    <col min="15101" max="15101" width="12.85546875" style="19" customWidth="1"/>
    <col min="15102" max="15102" width="11.28515625" style="19" customWidth="1"/>
    <col min="15103" max="15103" width="10" style="19" customWidth="1"/>
    <col min="15104" max="15104" width="9.85546875" style="19" customWidth="1"/>
    <col min="15105" max="15105" width="11.42578125" style="19" customWidth="1"/>
    <col min="15106" max="15106" width="13.85546875" style="19" customWidth="1"/>
    <col min="15107" max="15107" width="10.42578125" style="19" customWidth="1"/>
    <col min="15108" max="15108" width="10.5703125" style="19" customWidth="1"/>
    <col min="15109" max="15109" width="13.28515625" style="19" customWidth="1"/>
    <col min="15110" max="15110" width="15.85546875" style="19" customWidth="1"/>
    <col min="15111" max="15111" width="12.7109375" style="19" customWidth="1"/>
    <col min="15112" max="15112" width="11.85546875" style="19" customWidth="1"/>
    <col min="15113" max="15113" width="17.5703125" style="19" customWidth="1"/>
    <col min="15114" max="15347" width="7.85546875" style="19"/>
    <col min="15348" max="15350" width="0" style="19" hidden="1" customWidth="1"/>
    <col min="15351" max="15351" width="12.7109375" style="19" customWidth="1"/>
    <col min="15352" max="15352" width="0" style="19" hidden="1" customWidth="1"/>
    <col min="15353" max="15353" width="42.140625" style="19" customWidth="1"/>
    <col min="15354" max="15354" width="13.140625" style="19" customWidth="1"/>
    <col min="15355" max="15356" width="12.7109375" style="19" customWidth="1"/>
    <col min="15357" max="15357" width="12.85546875" style="19" customWidth="1"/>
    <col min="15358" max="15358" width="11.28515625" style="19" customWidth="1"/>
    <col min="15359" max="15359" width="10" style="19" customWidth="1"/>
    <col min="15360" max="15360" width="9.85546875" style="19" customWidth="1"/>
    <col min="15361" max="15361" width="11.42578125" style="19" customWidth="1"/>
    <col min="15362" max="15362" width="13.85546875" style="19" customWidth="1"/>
    <col min="15363" max="15363" width="10.42578125" style="19" customWidth="1"/>
    <col min="15364" max="15364" width="10.5703125" style="19" customWidth="1"/>
    <col min="15365" max="15365" width="13.28515625" style="19" customWidth="1"/>
    <col min="15366" max="15366" width="15.85546875" style="19" customWidth="1"/>
    <col min="15367" max="15367" width="12.7109375" style="19" customWidth="1"/>
    <col min="15368" max="15368" width="11.85546875" style="19" customWidth="1"/>
    <col min="15369" max="15369" width="17.5703125" style="19" customWidth="1"/>
    <col min="15370" max="15603" width="7.85546875" style="19"/>
    <col min="15604" max="15606" width="0" style="19" hidden="1" customWidth="1"/>
    <col min="15607" max="15607" width="12.7109375" style="19" customWidth="1"/>
    <col min="15608" max="15608" width="0" style="19" hidden="1" customWidth="1"/>
    <col min="15609" max="15609" width="42.140625" style="19" customWidth="1"/>
    <col min="15610" max="15610" width="13.140625" style="19" customWidth="1"/>
    <col min="15611" max="15612" width="12.7109375" style="19" customWidth="1"/>
    <col min="15613" max="15613" width="12.85546875" style="19" customWidth="1"/>
    <col min="15614" max="15614" width="11.28515625" style="19" customWidth="1"/>
    <col min="15615" max="15615" width="10" style="19" customWidth="1"/>
    <col min="15616" max="15616" width="9.85546875" style="19" customWidth="1"/>
    <col min="15617" max="15617" width="11.42578125" style="19" customWidth="1"/>
    <col min="15618" max="15618" width="13.85546875" style="19" customWidth="1"/>
    <col min="15619" max="15619" width="10.42578125" style="19" customWidth="1"/>
    <col min="15620" max="15620" width="10.5703125" style="19" customWidth="1"/>
    <col min="15621" max="15621" width="13.28515625" style="19" customWidth="1"/>
    <col min="15622" max="15622" width="15.85546875" style="19" customWidth="1"/>
    <col min="15623" max="15623" width="12.7109375" style="19" customWidth="1"/>
    <col min="15624" max="15624" width="11.85546875" style="19" customWidth="1"/>
    <col min="15625" max="15625" width="17.5703125" style="19" customWidth="1"/>
    <col min="15626" max="15859" width="7.85546875" style="19"/>
    <col min="15860" max="15862" width="0" style="19" hidden="1" customWidth="1"/>
    <col min="15863" max="15863" width="12.7109375" style="19" customWidth="1"/>
    <col min="15864" max="15864" width="0" style="19" hidden="1" customWidth="1"/>
    <col min="15865" max="15865" width="42.140625" style="19" customWidth="1"/>
    <col min="15866" max="15866" width="13.140625" style="19" customWidth="1"/>
    <col min="15867" max="15868" width="12.7109375" style="19" customWidth="1"/>
    <col min="15869" max="15869" width="12.85546875" style="19" customWidth="1"/>
    <col min="15870" max="15870" width="11.28515625" style="19" customWidth="1"/>
    <col min="15871" max="15871" width="10" style="19" customWidth="1"/>
    <col min="15872" max="15872" width="9.85546875" style="19" customWidth="1"/>
    <col min="15873" max="15873" width="11.42578125" style="19" customWidth="1"/>
    <col min="15874" max="15874" width="13.85546875" style="19" customWidth="1"/>
    <col min="15875" max="15875" width="10.42578125" style="19" customWidth="1"/>
    <col min="15876" max="15876" width="10.5703125" style="19" customWidth="1"/>
    <col min="15877" max="15877" width="13.28515625" style="19" customWidth="1"/>
    <col min="15878" max="15878" width="15.85546875" style="19" customWidth="1"/>
    <col min="15879" max="15879" width="12.7109375" style="19" customWidth="1"/>
    <col min="15880" max="15880" width="11.85546875" style="19" customWidth="1"/>
    <col min="15881" max="15881" width="17.5703125" style="19" customWidth="1"/>
    <col min="15882" max="16115" width="7.85546875" style="19"/>
    <col min="16116" max="16118" width="0" style="19" hidden="1" customWidth="1"/>
    <col min="16119" max="16119" width="12.7109375" style="19" customWidth="1"/>
    <col min="16120" max="16120" width="0" style="19" hidden="1" customWidth="1"/>
    <col min="16121" max="16121" width="42.140625" style="19" customWidth="1"/>
    <col min="16122" max="16122" width="13.140625" style="19" customWidth="1"/>
    <col min="16123" max="16124" width="12.7109375" style="19" customWidth="1"/>
    <col min="16125" max="16125" width="12.85546875" style="19" customWidth="1"/>
    <col min="16126" max="16126" width="11.28515625" style="19" customWidth="1"/>
    <col min="16127" max="16127" width="10" style="19" customWidth="1"/>
    <col min="16128" max="16128" width="9.85546875" style="19" customWidth="1"/>
    <col min="16129" max="16129" width="11.42578125" style="19" customWidth="1"/>
    <col min="16130" max="16130" width="13.85546875" style="19" customWidth="1"/>
    <col min="16131" max="16131" width="10.42578125" style="19" customWidth="1"/>
    <col min="16132" max="16132" width="10.5703125" style="19" customWidth="1"/>
    <col min="16133" max="16133" width="13.28515625" style="19" customWidth="1"/>
    <col min="16134" max="16134" width="15.85546875" style="19" customWidth="1"/>
    <col min="16135" max="16135" width="12.7109375" style="19" customWidth="1"/>
    <col min="16136" max="16136" width="11.85546875" style="19" customWidth="1"/>
    <col min="16137" max="16137" width="17.5703125" style="19" customWidth="1"/>
    <col min="16138" max="16384" width="7.85546875" style="19"/>
  </cols>
  <sheetData>
    <row r="1" spans="1:14" s="15" customFormat="1" ht="18.75" customHeight="1" x14ac:dyDescent="0.25">
      <c r="A1" s="13"/>
      <c r="B1" s="460"/>
      <c r="C1" s="460"/>
      <c r="D1" s="460"/>
      <c r="E1" s="460"/>
      <c r="F1" s="460"/>
      <c r="G1" s="460"/>
      <c r="H1" s="460"/>
      <c r="I1" s="460"/>
      <c r="J1" s="460"/>
      <c r="K1" s="256" t="s">
        <v>393</v>
      </c>
      <c r="L1" s="256"/>
      <c r="M1" s="256"/>
      <c r="N1" s="256"/>
    </row>
    <row r="2" spans="1:14" s="15" customFormat="1" ht="18.75" customHeight="1" x14ac:dyDescent="0.25">
      <c r="A2" s="13"/>
      <c r="B2" s="392"/>
      <c r="C2" s="392"/>
      <c r="D2" s="392"/>
      <c r="E2" s="392"/>
      <c r="F2" s="392"/>
      <c r="G2" s="392"/>
      <c r="H2" s="392"/>
      <c r="I2" s="392"/>
      <c r="J2" s="392"/>
      <c r="K2" s="256" t="s">
        <v>435</v>
      </c>
      <c r="L2" s="256"/>
      <c r="M2" s="256"/>
      <c r="N2" s="256"/>
    </row>
    <row r="3" spans="1:14" s="15" customFormat="1" ht="18.75" customHeight="1" x14ac:dyDescent="0.25">
      <c r="A3" s="13"/>
      <c r="B3" s="414"/>
      <c r="C3" s="414"/>
      <c r="D3" s="414"/>
      <c r="E3" s="414"/>
      <c r="F3" s="414"/>
      <c r="G3" s="414"/>
      <c r="H3" s="414"/>
      <c r="I3" s="414"/>
      <c r="J3" s="414"/>
      <c r="K3" s="256" t="s">
        <v>436</v>
      </c>
      <c r="L3" s="256"/>
      <c r="M3" s="256"/>
      <c r="N3" s="256"/>
    </row>
    <row r="4" spans="1:14" ht="17.25" customHeight="1" x14ac:dyDescent="0.25">
      <c r="G4" s="17"/>
      <c r="H4" s="17"/>
      <c r="I4" s="17"/>
      <c r="J4" s="17"/>
      <c r="K4" s="256" t="s">
        <v>438</v>
      </c>
      <c r="L4" s="256"/>
      <c r="M4" s="256"/>
      <c r="N4" s="256"/>
    </row>
    <row r="5" spans="1:14" ht="93.75" customHeight="1" x14ac:dyDescent="0.2">
      <c r="B5" s="461" t="s">
        <v>444</v>
      </c>
      <c r="C5" s="461"/>
      <c r="D5" s="461"/>
      <c r="E5" s="461"/>
      <c r="F5" s="461"/>
      <c r="G5" s="461"/>
      <c r="H5" s="461"/>
      <c r="I5" s="461"/>
      <c r="J5" s="461"/>
      <c r="K5" s="461"/>
    </row>
    <row r="6" spans="1:14" s="18" customFormat="1" ht="57.75" customHeight="1" x14ac:dyDescent="0.2">
      <c r="A6" s="24"/>
      <c r="B6" s="393"/>
      <c r="C6" s="393"/>
      <c r="D6" s="353" t="s">
        <v>274</v>
      </c>
      <c r="E6" s="353"/>
      <c r="F6" s="394" t="s">
        <v>275</v>
      </c>
      <c r="G6" s="394" t="s">
        <v>276</v>
      </c>
      <c r="H6" s="397" t="s">
        <v>24</v>
      </c>
      <c r="I6" s="397" t="s">
        <v>25</v>
      </c>
      <c r="J6" s="397" t="s">
        <v>26</v>
      </c>
      <c r="K6" s="397" t="s">
        <v>410</v>
      </c>
    </row>
    <row r="7" spans="1:14" s="30" customFormat="1" ht="21.6" customHeight="1" x14ac:dyDescent="0.2">
      <c r="A7" s="25"/>
      <c r="B7" s="26" t="s">
        <v>29</v>
      </c>
      <c r="C7" s="26"/>
      <c r="D7" s="398" t="s">
        <v>29</v>
      </c>
      <c r="E7" s="398" t="s">
        <v>30</v>
      </c>
      <c r="F7" s="399">
        <v>2</v>
      </c>
      <c r="G7" s="491">
        <v>3</v>
      </c>
      <c r="H7" s="492">
        <v>4</v>
      </c>
      <c r="I7" s="491">
        <v>5</v>
      </c>
      <c r="J7" s="491">
        <v>6</v>
      </c>
      <c r="K7" s="492">
        <v>7</v>
      </c>
    </row>
    <row r="8" spans="1:14" s="30" customFormat="1" ht="100.5" customHeight="1" x14ac:dyDescent="0.2">
      <c r="A8" s="25"/>
      <c r="B8" s="31"/>
      <c r="C8" s="31"/>
      <c r="D8" s="400" t="s">
        <v>103</v>
      </c>
      <c r="E8" s="400"/>
      <c r="F8" s="401" t="s">
        <v>105</v>
      </c>
      <c r="G8" s="402" t="s">
        <v>412</v>
      </c>
      <c r="H8" s="493">
        <v>33000</v>
      </c>
      <c r="I8" s="416" t="s">
        <v>437</v>
      </c>
      <c r="J8" s="416" t="s">
        <v>437</v>
      </c>
      <c r="K8" s="416" t="s">
        <v>437</v>
      </c>
    </row>
    <row r="9" spans="1:14" s="30" customFormat="1" ht="78" customHeight="1" x14ac:dyDescent="0.2">
      <c r="A9" s="25"/>
      <c r="B9" s="31"/>
      <c r="C9" s="31"/>
      <c r="D9" s="400" t="s">
        <v>103</v>
      </c>
      <c r="E9" s="400"/>
      <c r="F9" s="401" t="s">
        <v>105</v>
      </c>
      <c r="G9" s="402" t="s">
        <v>413</v>
      </c>
      <c r="H9" s="493">
        <v>6500</v>
      </c>
      <c r="I9" s="416" t="s">
        <v>437</v>
      </c>
      <c r="J9" s="416" t="s">
        <v>437</v>
      </c>
      <c r="K9" s="416" t="s">
        <v>437</v>
      </c>
    </row>
    <row r="10" spans="1:14" s="30" customFormat="1" ht="79.5" customHeight="1" x14ac:dyDescent="0.2">
      <c r="A10" s="25"/>
      <c r="B10" s="31"/>
      <c r="C10" s="31"/>
      <c r="D10" s="104" t="s">
        <v>117</v>
      </c>
      <c r="E10" s="104"/>
      <c r="F10" s="252" t="s">
        <v>246</v>
      </c>
      <c r="G10" s="411" t="s">
        <v>414</v>
      </c>
      <c r="H10" s="493">
        <v>1205863</v>
      </c>
      <c r="I10" s="416" t="s">
        <v>437</v>
      </c>
      <c r="J10" s="416" t="s">
        <v>437</v>
      </c>
      <c r="K10" s="416" t="s">
        <v>437</v>
      </c>
    </row>
    <row r="11" spans="1:14" s="30" customFormat="1" ht="145.5" customHeight="1" x14ac:dyDescent="0.2">
      <c r="A11" s="25"/>
      <c r="B11" s="31"/>
      <c r="C11" s="31"/>
      <c r="D11" s="104" t="s">
        <v>117</v>
      </c>
      <c r="E11" s="104"/>
      <c r="F11" s="252" t="s">
        <v>246</v>
      </c>
      <c r="G11" s="411" t="s">
        <v>415</v>
      </c>
      <c r="H11" s="493">
        <v>2250000</v>
      </c>
      <c r="I11" s="416" t="s">
        <v>437</v>
      </c>
      <c r="J11" s="416" t="s">
        <v>437</v>
      </c>
      <c r="K11" s="416" t="s">
        <v>437</v>
      </c>
    </row>
    <row r="12" spans="1:14" s="30" customFormat="1" ht="96" customHeight="1" x14ac:dyDescent="0.2">
      <c r="A12" s="25"/>
      <c r="B12" s="31"/>
      <c r="C12" s="31"/>
      <c r="D12" s="104" t="s">
        <v>117</v>
      </c>
      <c r="E12" s="104"/>
      <c r="F12" s="252" t="s">
        <v>246</v>
      </c>
      <c r="G12" s="411" t="s">
        <v>394</v>
      </c>
      <c r="H12" s="493">
        <v>200000</v>
      </c>
      <c r="I12" s="416" t="s">
        <v>437</v>
      </c>
      <c r="J12" s="416" t="s">
        <v>437</v>
      </c>
      <c r="K12" s="416" t="s">
        <v>437</v>
      </c>
    </row>
    <row r="13" spans="1:14" s="30" customFormat="1" ht="96" customHeight="1" x14ac:dyDescent="0.2">
      <c r="A13" s="25"/>
      <c r="B13" s="31"/>
      <c r="C13" s="31"/>
      <c r="D13" s="104" t="s">
        <v>117</v>
      </c>
      <c r="E13" s="104"/>
      <c r="F13" s="252" t="s">
        <v>246</v>
      </c>
      <c r="G13" s="411" t="s">
        <v>416</v>
      </c>
      <c r="H13" s="493">
        <v>550000</v>
      </c>
      <c r="I13" s="416" t="s">
        <v>437</v>
      </c>
      <c r="J13" s="416" t="s">
        <v>437</v>
      </c>
      <c r="K13" s="416" t="s">
        <v>437</v>
      </c>
    </row>
    <row r="14" spans="1:14" s="30" customFormat="1" ht="80.25" customHeight="1" x14ac:dyDescent="0.2">
      <c r="A14" s="25"/>
      <c r="B14" s="31"/>
      <c r="C14" s="31"/>
      <c r="D14" s="104" t="s">
        <v>117</v>
      </c>
      <c r="E14" s="104"/>
      <c r="F14" s="252" t="s">
        <v>246</v>
      </c>
      <c r="G14" s="411" t="s">
        <v>417</v>
      </c>
      <c r="H14" s="493">
        <v>800000</v>
      </c>
      <c r="I14" s="416" t="s">
        <v>437</v>
      </c>
      <c r="J14" s="416" t="s">
        <v>437</v>
      </c>
      <c r="K14" s="416" t="s">
        <v>437</v>
      </c>
    </row>
    <row r="15" spans="1:14" s="30" customFormat="1" ht="84.75" customHeight="1" x14ac:dyDescent="0.2">
      <c r="A15" s="25"/>
      <c r="B15" s="31"/>
      <c r="C15" s="31"/>
      <c r="D15" s="104" t="s">
        <v>117</v>
      </c>
      <c r="E15" s="104"/>
      <c r="F15" s="252" t="s">
        <v>246</v>
      </c>
      <c r="G15" s="411" t="s">
        <v>418</v>
      </c>
      <c r="H15" s="493">
        <v>330000</v>
      </c>
      <c r="I15" s="416" t="s">
        <v>437</v>
      </c>
      <c r="J15" s="416" t="s">
        <v>437</v>
      </c>
      <c r="K15" s="416" t="s">
        <v>437</v>
      </c>
    </row>
    <row r="16" spans="1:14" s="30" customFormat="1" ht="82.5" customHeight="1" x14ac:dyDescent="0.2">
      <c r="A16" s="25"/>
      <c r="B16" s="31"/>
      <c r="C16" s="31"/>
      <c r="D16" s="104" t="s">
        <v>117</v>
      </c>
      <c r="E16" s="104"/>
      <c r="F16" s="252" t="s">
        <v>246</v>
      </c>
      <c r="G16" s="411" t="s">
        <v>419</v>
      </c>
      <c r="H16" s="493">
        <v>498098</v>
      </c>
      <c r="I16" s="416" t="s">
        <v>437</v>
      </c>
      <c r="J16" s="416" t="s">
        <v>437</v>
      </c>
      <c r="K16" s="416" t="s">
        <v>437</v>
      </c>
    </row>
    <row r="17" spans="1:13" s="30" customFormat="1" ht="109.5" customHeight="1" x14ac:dyDescent="0.2">
      <c r="A17" s="25"/>
      <c r="B17" s="31"/>
      <c r="C17" s="31"/>
      <c r="D17" s="104" t="s">
        <v>117</v>
      </c>
      <c r="E17" s="104"/>
      <c r="F17" s="252" t="s">
        <v>246</v>
      </c>
      <c r="G17" s="411" t="s">
        <v>420</v>
      </c>
      <c r="H17" s="493">
        <v>33000</v>
      </c>
      <c r="I17" s="416" t="s">
        <v>437</v>
      </c>
      <c r="J17" s="416" t="s">
        <v>437</v>
      </c>
      <c r="K17" s="416" t="s">
        <v>437</v>
      </c>
    </row>
    <row r="18" spans="1:13" s="30" customFormat="1" ht="125.25" customHeight="1" x14ac:dyDescent="0.2">
      <c r="A18" s="25"/>
      <c r="B18" s="31"/>
      <c r="C18" s="31"/>
      <c r="D18" s="104" t="s">
        <v>117</v>
      </c>
      <c r="E18" s="104"/>
      <c r="F18" s="252" t="s">
        <v>246</v>
      </c>
      <c r="G18" s="411" t="s">
        <v>421</v>
      </c>
      <c r="H18" s="493">
        <v>27000</v>
      </c>
      <c r="I18" s="416" t="s">
        <v>437</v>
      </c>
      <c r="J18" s="416" t="s">
        <v>437</v>
      </c>
      <c r="K18" s="416" t="s">
        <v>437</v>
      </c>
    </row>
    <row r="19" spans="1:13" s="30" customFormat="1" ht="141" customHeight="1" x14ac:dyDescent="0.2">
      <c r="A19" s="25"/>
      <c r="B19" s="31"/>
      <c r="C19" s="31"/>
      <c r="D19" s="104" t="s">
        <v>117</v>
      </c>
      <c r="E19" s="104"/>
      <c r="F19" s="252" t="s">
        <v>246</v>
      </c>
      <c r="G19" s="411" t="s">
        <v>422</v>
      </c>
      <c r="H19" s="493">
        <v>27000</v>
      </c>
      <c r="I19" s="416" t="s">
        <v>437</v>
      </c>
      <c r="J19" s="416" t="s">
        <v>437</v>
      </c>
      <c r="K19" s="416" t="s">
        <v>437</v>
      </c>
    </row>
    <row r="20" spans="1:13" s="18" customFormat="1" ht="80.25" customHeight="1" x14ac:dyDescent="0.2">
      <c r="A20" s="36"/>
      <c r="B20" s="31"/>
      <c r="C20" s="31"/>
      <c r="D20" s="400" t="s">
        <v>279</v>
      </c>
      <c r="E20" s="403"/>
      <c r="F20" s="411" t="s">
        <v>423</v>
      </c>
      <c r="G20" s="412" t="s">
        <v>424</v>
      </c>
      <c r="H20" s="493">
        <v>500000</v>
      </c>
      <c r="I20" s="416" t="s">
        <v>437</v>
      </c>
      <c r="J20" s="416" t="s">
        <v>437</v>
      </c>
      <c r="K20" s="416" t="s">
        <v>437</v>
      </c>
      <c r="L20" s="355"/>
    </row>
    <row r="21" spans="1:13" s="18" customFormat="1" ht="89.25" customHeight="1" x14ac:dyDescent="0.2">
      <c r="A21" s="36"/>
      <c r="B21" s="31"/>
      <c r="C21" s="31"/>
      <c r="D21" s="104" t="s">
        <v>280</v>
      </c>
      <c r="E21" s="104"/>
      <c r="F21" s="404" t="s">
        <v>281</v>
      </c>
      <c r="G21" s="411" t="s">
        <v>425</v>
      </c>
      <c r="H21" s="494">
        <v>1963896</v>
      </c>
      <c r="I21" s="416" t="s">
        <v>437</v>
      </c>
      <c r="J21" s="416" t="s">
        <v>437</v>
      </c>
      <c r="K21" s="416" t="s">
        <v>437</v>
      </c>
      <c r="L21" s="60"/>
      <c r="M21" s="18" t="s">
        <v>392</v>
      </c>
    </row>
    <row r="22" spans="1:13" s="18" customFormat="1" ht="51" hidden="1" customHeight="1" x14ac:dyDescent="0.2">
      <c r="A22" s="36"/>
      <c r="B22" s="32" t="s">
        <v>60</v>
      </c>
      <c r="C22" s="32"/>
      <c r="D22" s="104" t="s">
        <v>65</v>
      </c>
      <c r="E22" s="104" t="s">
        <v>62</v>
      </c>
      <c r="F22" s="97" t="s">
        <v>66</v>
      </c>
      <c r="G22" s="405"/>
      <c r="H22" s="495"/>
      <c r="I22" s="416" t="s">
        <v>437</v>
      </c>
      <c r="J22" s="416" t="s">
        <v>437</v>
      </c>
      <c r="K22" s="416" t="s">
        <v>437</v>
      </c>
    </row>
    <row r="23" spans="1:13" s="18" customFormat="1" ht="15" hidden="1" customHeight="1" x14ac:dyDescent="0.2">
      <c r="A23" s="36"/>
      <c r="B23" s="32"/>
      <c r="C23" s="31"/>
      <c r="D23" s="104" t="s">
        <v>68</v>
      </c>
      <c r="E23" s="104" t="s">
        <v>62</v>
      </c>
      <c r="F23" s="97" t="s">
        <v>69</v>
      </c>
      <c r="G23" s="405"/>
      <c r="H23" s="495"/>
      <c r="I23" s="416" t="s">
        <v>437</v>
      </c>
      <c r="J23" s="416" t="s">
        <v>437</v>
      </c>
      <c r="K23" s="416" t="s">
        <v>437</v>
      </c>
    </row>
    <row r="24" spans="1:13" s="18" customFormat="1" ht="45" hidden="1" customHeight="1" x14ac:dyDescent="0.2">
      <c r="A24" s="36"/>
      <c r="B24" s="32" t="s">
        <v>64</v>
      </c>
      <c r="C24" s="32"/>
      <c r="D24" s="104" t="s">
        <v>71</v>
      </c>
      <c r="E24" s="104" t="s">
        <v>62</v>
      </c>
      <c r="F24" s="97" t="s">
        <v>72</v>
      </c>
      <c r="G24" s="405"/>
      <c r="H24" s="495"/>
      <c r="I24" s="416" t="s">
        <v>437</v>
      </c>
      <c r="J24" s="416" t="s">
        <v>437</v>
      </c>
      <c r="K24" s="416" t="s">
        <v>437</v>
      </c>
    </row>
    <row r="25" spans="1:13" s="18" customFormat="1" ht="15" hidden="1" customHeight="1" x14ac:dyDescent="0.2">
      <c r="A25" s="36"/>
      <c r="B25" s="32" t="s">
        <v>67</v>
      </c>
      <c r="C25" s="32"/>
      <c r="D25" s="104" t="s">
        <v>74</v>
      </c>
      <c r="E25" s="104" t="s">
        <v>75</v>
      </c>
      <c r="F25" s="97" t="s">
        <v>76</v>
      </c>
      <c r="G25" s="405"/>
      <c r="H25" s="496"/>
      <c r="I25" s="416" t="s">
        <v>437</v>
      </c>
      <c r="J25" s="416" t="s">
        <v>437</v>
      </c>
      <c r="K25" s="416" t="s">
        <v>437</v>
      </c>
    </row>
    <row r="26" spans="1:13" s="18" customFormat="1" ht="75" hidden="1" customHeight="1" x14ac:dyDescent="0.2">
      <c r="A26" s="36"/>
      <c r="B26" s="32" t="s">
        <v>70</v>
      </c>
      <c r="C26" s="32"/>
      <c r="D26" s="104" t="s">
        <v>78</v>
      </c>
      <c r="E26" s="104" t="s">
        <v>79</v>
      </c>
      <c r="F26" s="97" t="s">
        <v>80</v>
      </c>
      <c r="G26" s="405"/>
      <c r="H26" s="496"/>
      <c r="I26" s="416" t="s">
        <v>437</v>
      </c>
      <c r="J26" s="416" t="s">
        <v>437</v>
      </c>
      <c r="K26" s="416" t="s">
        <v>437</v>
      </c>
    </row>
    <row r="27" spans="1:13" s="18" customFormat="1" ht="30" hidden="1" customHeight="1" x14ac:dyDescent="0.2">
      <c r="A27" s="36"/>
      <c r="B27" s="44" t="s">
        <v>73</v>
      </c>
      <c r="C27" s="32"/>
      <c r="D27" s="104" t="s">
        <v>82</v>
      </c>
      <c r="E27" s="104" t="s">
        <v>83</v>
      </c>
      <c r="F27" s="97" t="s">
        <v>84</v>
      </c>
      <c r="G27" s="405"/>
      <c r="H27" s="497"/>
      <c r="I27" s="416" t="s">
        <v>437</v>
      </c>
      <c r="J27" s="416" t="s">
        <v>437</v>
      </c>
      <c r="K27" s="416" t="s">
        <v>437</v>
      </c>
    </row>
    <row r="28" spans="1:13" s="18" customFormat="1" ht="30" hidden="1" customHeight="1" x14ac:dyDescent="0.2">
      <c r="A28" s="36"/>
      <c r="B28" s="44" t="s">
        <v>77</v>
      </c>
      <c r="C28" s="32"/>
      <c r="D28" s="104" t="s">
        <v>86</v>
      </c>
      <c r="E28" s="104" t="s">
        <v>83</v>
      </c>
      <c r="F28" s="97" t="s">
        <v>87</v>
      </c>
      <c r="G28" s="405"/>
      <c r="H28" s="496"/>
      <c r="I28" s="416" t="s">
        <v>437</v>
      </c>
      <c r="J28" s="416" t="s">
        <v>437</v>
      </c>
      <c r="K28" s="416" t="s">
        <v>437</v>
      </c>
    </row>
    <row r="29" spans="1:13" s="18" customFormat="1" ht="45" hidden="1" customHeight="1" x14ac:dyDescent="0.2">
      <c r="A29" s="36"/>
      <c r="B29" s="44" t="s">
        <v>81</v>
      </c>
      <c r="C29" s="32"/>
      <c r="D29" s="94"/>
      <c r="E29" s="94"/>
      <c r="F29" s="109"/>
      <c r="G29" s="405"/>
      <c r="H29" s="497"/>
      <c r="I29" s="416" t="s">
        <v>437</v>
      </c>
      <c r="J29" s="416" t="s">
        <v>437</v>
      </c>
      <c r="K29" s="416" t="s">
        <v>437</v>
      </c>
    </row>
    <row r="30" spans="1:13" s="18" customFormat="1" ht="30" hidden="1" customHeight="1" x14ac:dyDescent="0.2">
      <c r="A30" s="36"/>
      <c r="B30" s="44" t="s">
        <v>85</v>
      </c>
      <c r="C30" s="32"/>
      <c r="D30" s="104" t="s">
        <v>89</v>
      </c>
      <c r="E30" s="104" t="s">
        <v>90</v>
      </c>
      <c r="F30" s="97" t="s">
        <v>91</v>
      </c>
      <c r="G30" s="405"/>
      <c r="H30" s="496"/>
      <c r="I30" s="416" t="s">
        <v>437</v>
      </c>
      <c r="J30" s="416" t="s">
        <v>437</v>
      </c>
      <c r="K30" s="416" t="s">
        <v>437</v>
      </c>
    </row>
    <row r="31" spans="1:13" s="18" customFormat="1" ht="14.25" hidden="1" customHeight="1" x14ac:dyDescent="0.2">
      <c r="A31" s="36"/>
      <c r="B31" s="45"/>
      <c r="C31" s="31"/>
      <c r="D31" s="94"/>
      <c r="E31" s="94"/>
      <c r="F31" s="109"/>
      <c r="G31" s="405"/>
      <c r="H31" s="497"/>
      <c r="I31" s="416" t="s">
        <v>437</v>
      </c>
      <c r="J31" s="416" t="s">
        <v>437</v>
      </c>
      <c r="K31" s="416" t="s">
        <v>437</v>
      </c>
    </row>
    <row r="32" spans="1:13" s="18" customFormat="1" ht="30" hidden="1" customHeight="1" x14ac:dyDescent="0.2">
      <c r="A32" s="36"/>
      <c r="B32" s="44" t="s">
        <v>88</v>
      </c>
      <c r="C32" s="32"/>
      <c r="D32" s="104"/>
      <c r="E32" s="104"/>
      <c r="F32" s="97" t="s">
        <v>92</v>
      </c>
      <c r="G32" s="405"/>
      <c r="H32" s="496"/>
      <c r="I32" s="416" t="s">
        <v>437</v>
      </c>
      <c r="J32" s="416" t="s">
        <v>437</v>
      </c>
      <c r="K32" s="416" t="s">
        <v>437</v>
      </c>
    </row>
    <row r="33" spans="1:11" s="18" customFormat="1" ht="14.25" hidden="1" customHeight="1" x14ac:dyDescent="0.2">
      <c r="A33" s="36"/>
      <c r="B33" s="45"/>
      <c r="C33" s="31"/>
      <c r="D33" s="104" t="s">
        <v>94</v>
      </c>
      <c r="E33" s="104" t="s">
        <v>90</v>
      </c>
      <c r="F33" s="97" t="s">
        <v>95</v>
      </c>
      <c r="G33" s="405"/>
      <c r="H33" s="496"/>
      <c r="I33" s="416" t="s">
        <v>437</v>
      </c>
      <c r="J33" s="416" t="s">
        <v>437</v>
      </c>
      <c r="K33" s="416" t="s">
        <v>437</v>
      </c>
    </row>
    <row r="34" spans="1:11" s="18" customFormat="1" ht="39.75" hidden="1" customHeight="1" x14ac:dyDescent="0.2">
      <c r="A34" s="36"/>
      <c r="B34" s="44"/>
      <c r="C34" s="32"/>
      <c r="D34" s="104"/>
      <c r="E34" s="114"/>
      <c r="F34" s="97" t="s">
        <v>92</v>
      </c>
      <c r="G34" s="405"/>
      <c r="H34" s="496"/>
      <c r="I34" s="416" t="s">
        <v>437</v>
      </c>
      <c r="J34" s="416" t="s">
        <v>437</v>
      </c>
      <c r="K34" s="416" t="s">
        <v>437</v>
      </c>
    </row>
    <row r="35" spans="1:11" s="18" customFormat="1" ht="45" hidden="1" customHeight="1" x14ac:dyDescent="0.2">
      <c r="A35" s="36"/>
      <c r="B35" s="44" t="s">
        <v>93</v>
      </c>
      <c r="C35" s="32"/>
      <c r="D35" s="114"/>
      <c r="E35" s="114"/>
      <c r="F35" s="115"/>
      <c r="G35" s="405"/>
      <c r="H35" s="496"/>
      <c r="I35" s="416" t="s">
        <v>437</v>
      </c>
      <c r="J35" s="416" t="s">
        <v>437</v>
      </c>
      <c r="K35" s="416" t="s">
        <v>437</v>
      </c>
    </row>
    <row r="36" spans="1:11" s="18" customFormat="1" ht="30" hidden="1" customHeight="1" x14ac:dyDescent="0.2">
      <c r="A36" s="36"/>
      <c r="B36" s="46"/>
      <c r="C36" s="32"/>
      <c r="D36" s="111"/>
      <c r="E36" s="111"/>
      <c r="F36" s="97" t="s">
        <v>92</v>
      </c>
      <c r="G36" s="405"/>
      <c r="H36" s="495"/>
      <c r="I36" s="416" t="s">
        <v>437</v>
      </c>
      <c r="J36" s="416" t="s">
        <v>437</v>
      </c>
      <c r="K36" s="416" t="s">
        <v>437</v>
      </c>
    </row>
    <row r="37" spans="1:11" s="18" customFormat="1" ht="53.25" hidden="1" customHeight="1" x14ac:dyDescent="0.2">
      <c r="A37" s="36"/>
      <c r="B37" s="46"/>
      <c r="C37" s="32"/>
      <c r="D37" s="104" t="s">
        <v>97</v>
      </c>
      <c r="E37" s="104" t="s">
        <v>98</v>
      </c>
      <c r="F37" s="97" t="s">
        <v>99</v>
      </c>
      <c r="G37" s="405"/>
      <c r="H37" s="496"/>
      <c r="I37" s="416" t="s">
        <v>437</v>
      </c>
      <c r="J37" s="416" t="s">
        <v>437</v>
      </c>
      <c r="K37" s="416" t="s">
        <v>437</v>
      </c>
    </row>
    <row r="38" spans="1:11" s="18" customFormat="1" ht="30" hidden="1" customHeight="1" x14ac:dyDescent="0.2">
      <c r="A38" s="36"/>
      <c r="B38" s="45"/>
      <c r="C38" s="31"/>
      <c r="D38" s="104" t="s">
        <v>101</v>
      </c>
      <c r="E38" s="104" t="s">
        <v>98</v>
      </c>
      <c r="F38" s="97" t="s">
        <v>102</v>
      </c>
      <c r="G38" s="405"/>
      <c r="H38" s="496"/>
      <c r="I38" s="416" t="s">
        <v>437</v>
      </c>
      <c r="J38" s="416" t="s">
        <v>437</v>
      </c>
      <c r="K38" s="416" t="s">
        <v>437</v>
      </c>
    </row>
    <row r="39" spans="1:11" s="18" customFormat="1" ht="30" hidden="1" customHeight="1" x14ac:dyDescent="0.2">
      <c r="A39" s="36"/>
      <c r="B39" s="44" t="s">
        <v>96</v>
      </c>
      <c r="C39" s="32"/>
      <c r="D39" s="104" t="s">
        <v>104</v>
      </c>
      <c r="E39" s="104" t="s">
        <v>98</v>
      </c>
      <c r="F39" s="97" t="s">
        <v>105</v>
      </c>
      <c r="G39" s="405"/>
      <c r="H39" s="496"/>
      <c r="I39" s="416" t="s">
        <v>437</v>
      </c>
      <c r="J39" s="416" t="s">
        <v>437</v>
      </c>
      <c r="K39" s="416" t="s">
        <v>437</v>
      </c>
    </row>
    <row r="40" spans="1:11" s="18" customFormat="1" ht="30" hidden="1" customHeight="1" x14ac:dyDescent="0.2">
      <c r="A40" s="36"/>
      <c r="B40" s="44" t="s">
        <v>100</v>
      </c>
      <c r="C40" s="32"/>
      <c r="D40" s="104"/>
      <c r="E40" s="114"/>
      <c r="F40" s="97"/>
      <c r="G40" s="405"/>
      <c r="H40" s="497"/>
      <c r="I40" s="416" t="s">
        <v>437</v>
      </c>
      <c r="J40" s="416" t="s">
        <v>437</v>
      </c>
      <c r="K40" s="416" t="s">
        <v>437</v>
      </c>
    </row>
    <row r="41" spans="1:11" s="18" customFormat="1" ht="15" hidden="1" customHeight="1" x14ac:dyDescent="0.2">
      <c r="A41" s="36"/>
      <c r="B41" s="44" t="s">
        <v>103</v>
      </c>
      <c r="C41" s="32"/>
      <c r="D41" s="104" t="s">
        <v>107</v>
      </c>
      <c r="E41" s="104" t="s">
        <v>108</v>
      </c>
      <c r="F41" s="97" t="s">
        <v>109</v>
      </c>
      <c r="G41" s="405"/>
      <c r="H41" s="496"/>
      <c r="I41" s="416" t="s">
        <v>437</v>
      </c>
      <c r="J41" s="416" t="s">
        <v>437</v>
      </c>
      <c r="K41" s="416" t="s">
        <v>437</v>
      </c>
    </row>
    <row r="42" spans="1:11" s="18" customFormat="1" ht="15" hidden="1" customHeight="1" x14ac:dyDescent="0.2">
      <c r="A42" s="36"/>
      <c r="B42" s="44"/>
      <c r="C42" s="32"/>
      <c r="D42" s="104" t="s">
        <v>111</v>
      </c>
      <c r="E42" s="104" t="s">
        <v>108</v>
      </c>
      <c r="F42" s="97" t="s">
        <v>112</v>
      </c>
      <c r="G42" s="405"/>
      <c r="H42" s="496"/>
      <c r="I42" s="416" t="s">
        <v>437</v>
      </c>
      <c r="J42" s="416" t="s">
        <v>437</v>
      </c>
      <c r="K42" s="416" t="s">
        <v>437</v>
      </c>
    </row>
    <row r="43" spans="1:11" s="18" customFormat="1" ht="105" hidden="1" customHeight="1" x14ac:dyDescent="0.2">
      <c r="A43" s="36"/>
      <c r="B43" s="44" t="s">
        <v>106</v>
      </c>
      <c r="C43" s="32"/>
      <c r="D43" s="104" t="s">
        <v>114</v>
      </c>
      <c r="E43" s="104" t="s">
        <v>115</v>
      </c>
      <c r="F43" s="97" t="s">
        <v>116</v>
      </c>
      <c r="G43" s="405"/>
      <c r="H43" s="496"/>
      <c r="I43" s="416" t="s">
        <v>437</v>
      </c>
      <c r="J43" s="416" t="s">
        <v>437</v>
      </c>
      <c r="K43" s="416" t="s">
        <v>437</v>
      </c>
    </row>
    <row r="44" spans="1:11" s="18" customFormat="1" ht="30" hidden="1" customHeight="1" x14ac:dyDescent="0.2">
      <c r="A44" s="36"/>
      <c r="B44" s="44" t="s">
        <v>110</v>
      </c>
      <c r="C44" s="32"/>
      <c r="D44" s="104" t="s">
        <v>118</v>
      </c>
      <c r="E44" s="104" t="s">
        <v>119</v>
      </c>
      <c r="F44" s="97" t="s">
        <v>120</v>
      </c>
      <c r="G44" s="405"/>
      <c r="H44" s="496"/>
      <c r="I44" s="416" t="s">
        <v>437</v>
      </c>
      <c r="J44" s="416" t="s">
        <v>437</v>
      </c>
      <c r="K44" s="416" t="s">
        <v>437</v>
      </c>
    </row>
    <row r="45" spans="1:11" s="18" customFormat="1" ht="15" hidden="1" customHeight="1" x14ac:dyDescent="0.2">
      <c r="A45" s="36"/>
      <c r="B45" s="44" t="s">
        <v>113</v>
      </c>
      <c r="C45" s="32"/>
      <c r="D45" s="104" t="s">
        <v>122</v>
      </c>
      <c r="E45" s="104" t="s">
        <v>119</v>
      </c>
      <c r="F45" s="97" t="s">
        <v>123</v>
      </c>
      <c r="G45" s="405"/>
      <c r="H45" s="496"/>
      <c r="I45" s="416" t="s">
        <v>437</v>
      </c>
      <c r="J45" s="416" t="s">
        <v>437</v>
      </c>
      <c r="K45" s="416" t="s">
        <v>437</v>
      </c>
    </row>
    <row r="46" spans="1:11" s="18" customFormat="1" ht="30" hidden="1" customHeight="1" x14ac:dyDescent="0.2">
      <c r="A46" s="36"/>
      <c r="B46" s="44" t="s">
        <v>117</v>
      </c>
      <c r="C46" s="32"/>
      <c r="D46" s="104" t="s">
        <v>125</v>
      </c>
      <c r="E46" s="104" t="s">
        <v>126</v>
      </c>
      <c r="F46" s="97" t="s">
        <v>127</v>
      </c>
      <c r="G46" s="405"/>
      <c r="H46" s="496"/>
      <c r="I46" s="416" t="s">
        <v>437</v>
      </c>
      <c r="J46" s="416" t="s">
        <v>437</v>
      </c>
      <c r="K46" s="416" t="s">
        <v>437</v>
      </c>
    </row>
    <row r="47" spans="1:11" s="18" customFormat="1" ht="30" hidden="1" customHeight="1" x14ac:dyDescent="0.2">
      <c r="A47" s="36"/>
      <c r="B47" s="44" t="s">
        <v>121</v>
      </c>
      <c r="C47" s="32"/>
      <c r="D47" s="104" t="s">
        <v>129</v>
      </c>
      <c r="E47" s="104" t="s">
        <v>130</v>
      </c>
      <c r="F47" s="97" t="s">
        <v>131</v>
      </c>
      <c r="G47" s="405"/>
      <c r="H47" s="496"/>
      <c r="I47" s="416" t="s">
        <v>437</v>
      </c>
      <c r="J47" s="416" t="s">
        <v>437</v>
      </c>
      <c r="K47" s="416" t="s">
        <v>437</v>
      </c>
    </row>
    <row r="48" spans="1:11" s="18" customFormat="1" ht="45" hidden="1" customHeight="1" x14ac:dyDescent="0.2">
      <c r="A48" s="36"/>
      <c r="B48" s="44" t="s">
        <v>124</v>
      </c>
      <c r="C48" s="32"/>
      <c r="D48" s="104" t="s">
        <v>133</v>
      </c>
      <c r="E48" s="104" t="s">
        <v>134</v>
      </c>
      <c r="F48" s="97" t="s">
        <v>135</v>
      </c>
      <c r="G48" s="405"/>
      <c r="H48" s="496"/>
      <c r="I48" s="416" t="s">
        <v>437</v>
      </c>
      <c r="J48" s="416" t="s">
        <v>437</v>
      </c>
      <c r="K48" s="416" t="s">
        <v>437</v>
      </c>
    </row>
    <row r="49" spans="1:11" s="18" customFormat="1" ht="30" hidden="1" customHeight="1" x14ac:dyDescent="0.2">
      <c r="A49" s="36"/>
      <c r="B49" s="44" t="s">
        <v>128</v>
      </c>
      <c r="C49" s="32"/>
      <c r="D49" s="104" t="s">
        <v>137</v>
      </c>
      <c r="E49" s="104" t="s">
        <v>138</v>
      </c>
      <c r="F49" s="97" t="s">
        <v>139</v>
      </c>
      <c r="G49" s="405"/>
      <c r="H49" s="496"/>
      <c r="I49" s="416" t="s">
        <v>437</v>
      </c>
      <c r="J49" s="416" t="s">
        <v>437</v>
      </c>
      <c r="K49" s="416" t="s">
        <v>437</v>
      </c>
    </row>
    <row r="50" spans="1:11" s="18" customFormat="1" ht="30" hidden="1" customHeight="1" x14ac:dyDescent="0.2">
      <c r="A50" s="36"/>
      <c r="B50" s="44" t="s">
        <v>132</v>
      </c>
      <c r="C50" s="32"/>
      <c r="D50" s="104" t="s">
        <v>141</v>
      </c>
      <c r="E50" s="104" t="s">
        <v>142</v>
      </c>
      <c r="F50" s="407" t="s">
        <v>143</v>
      </c>
      <c r="G50" s="405"/>
      <c r="H50" s="496"/>
      <c r="I50" s="416" t="s">
        <v>437</v>
      </c>
      <c r="J50" s="416" t="s">
        <v>437</v>
      </c>
      <c r="K50" s="416" t="s">
        <v>437</v>
      </c>
    </row>
    <row r="51" spans="1:11" s="18" customFormat="1" ht="15" hidden="1" customHeight="1" x14ac:dyDescent="0.2">
      <c r="A51" s="36"/>
      <c r="B51" s="44" t="s">
        <v>136</v>
      </c>
      <c r="C51" s="32"/>
      <c r="D51" s="104"/>
      <c r="E51" s="114"/>
      <c r="F51" s="408"/>
      <c r="G51" s="405"/>
      <c r="H51" s="497"/>
      <c r="I51" s="416" t="s">
        <v>437</v>
      </c>
      <c r="J51" s="416" t="s">
        <v>437</v>
      </c>
      <c r="K51" s="416" t="s">
        <v>437</v>
      </c>
    </row>
    <row r="52" spans="1:11" s="18" customFormat="1" ht="15" hidden="1" customHeight="1" x14ac:dyDescent="0.2">
      <c r="A52" s="36"/>
      <c r="B52" s="44" t="s">
        <v>140</v>
      </c>
      <c r="C52" s="32"/>
      <c r="D52" s="104" t="s">
        <v>145</v>
      </c>
      <c r="E52" s="104" t="s">
        <v>146</v>
      </c>
      <c r="F52" s="97" t="s">
        <v>147</v>
      </c>
      <c r="G52" s="405"/>
      <c r="H52" s="496"/>
      <c r="I52" s="416" t="s">
        <v>437</v>
      </c>
      <c r="J52" s="416" t="s">
        <v>437</v>
      </c>
      <c r="K52" s="416" t="s">
        <v>437</v>
      </c>
    </row>
    <row r="53" spans="1:11" s="18" customFormat="1" ht="15" hidden="1" customHeight="1" x14ac:dyDescent="0.2">
      <c r="A53" s="36"/>
      <c r="B53" s="44"/>
      <c r="C53" s="32"/>
      <c r="D53" s="104" t="s">
        <v>149</v>
      </c>
      <c r="E53" s="104" t="s">
        <v>149</v>
      </c>
      <c r="F53" s="97" t="s">
        <v>150</v>
      </c>
      <c r="G53" s="405"/>
      <c r="H53" s="496"/>
      <c r="I53" s="416" t="s">
        <v>437</v>
      </c>
      <c r="J53" s="416" t="s">
        <v>437</v>
      </c>
      <c r="K53" s="416" t="s">
        <v>437</v>
      </c>
    </row>
    <row r="54" spans="1:11" s="18" customFormat="1" ht="30" hidden="1" customHeight="1" x14ac:dyDescent="0.2">
      <c r="A54" s="36"/>
      <c r="B54" s="44" t="s">
        <v>144</v>
      </c>
      <c r="C54" s="32"/>
      <c r="D54" s="104" t="s">
        <v>51</v>
      </c>
      <c r="E54" s="104" t="s">
        <v>51</v>
      </c>
      <c r="F54" s="97" t="s">
        <v>152</v>
      </c>
      <c r="G54" s="405"/>
      <c r="H54" s="495"/>
      <c r="I54" s="416" t="s">
        <v>437</v>
      </c>
      <c r="J54" s="416" t="s">
        <v>437</v>
      </c>
      <c r="K54" s="416" t="s">
        <v>437</v>
      </c>
    </row>
    <row r="55" spans="1:11" s="18" customFormat="1" ht="15" hidden="1" customHeight="1" x14ac:dyDescent="0.2">
      <c r="A55" s="36"/>
      <c r="B55" s="44" t="s">
        <v>148</v>
      </c>
      <c r="C55" s="32"/>
      <c r="D55" s="104" t="s">
        <v>154</v>
      </c>
      <c r="E55" s="104" t="s">
        <v>154</v>
      </c>
      <c r="F55" s="97" t="s">
        <v>155</v>
      </c>
      <c r="G55" s="354"/>
      <c r="H55" s="498"/>
      <c r="I55" s="416" t="s">
        <v>437</v>
      </c>
      <c r="J55" s="416" t="s">
        <v>437</v>
      </c>
      <c r="K55" s="416" t="s">
        <v>437</v>
      </c>
    </row>
    <row r="56" spans="1:11" s="18" customFormat="1" ht="15" hidden="1" customHeight="1" x14ac:dyDescent="0.2">
      <c r="A56" s="36"/>
      <c r="B56" s="44" t="s">
        <v>151</v>
      </c>
      <c r="C56" s="32"/>
      <c r="D56" s="104"/>
      <c r="E56" s="104"/>
      <c r="F56" s="97" t="s">
        <v>156</v>
      </c>
      <c r="G56" s="405"/>
      <c r="H56" s="498"/>
      <c r="I56" s="416" t="s">
        <v>437</v>
      </c>
      <c r="J56" s="416" t="s">
        <v>437</v>
      </c>
      <c r="K56" s="416" t="s">
        <v>437</v>
      </c>
    </row>
    <row r="57" spans="1:11" s="18" customFormat="1" ht="60" hidden="1" customHeight="1" x14ac:dyDescent="0.2">
      <c r="A57" s="36"/>
      <c r="B57" s="44" t="s">
        <v>153</v>
      </c>
      <c r="C57" s="32"/>
      <c r="D57" s="104"/>
      <c r="E57" s="104"/>
      <c r="F57" s="115" t="s">
        <v>157</v>
      </c>
      <c r="G57" s="405"/>
      <c r="H57" s="496"/>
      <c r="I57" s="416" t="s">
        <v>437</v>
      </c>
      <c r="J57" s="416" t="s">
        <v>437</v>
      </c>
      <c r="K57" s="416" t="s">
        <v>437</v>
      </c>
    </row>
    <row r="58" spans="1:11" s="18" customFormat="1" ht="30" hidden="1" customHeight="1" x14ac:dyDescent="0.2">
      <c r="A58" s="36"/>
      <c r="B58" s="44"/>
      <c r="C58" s="32"/>
      <c r="D58" s="104"/>
      <c r="E58" s="104"/>
      <c r="F58" s="409"/>
      <c r="G58" s="405"/>
      <c r="H58" s="496"/>
      <c r="I58" s="416" t="s">
        <v>437</v>
      </c>
      <c r="J58" s="416" t="s">
        <v>437</v>
      </c>
      <c r="K58" s="416" t="s">
        <v>437</v>
      </c>
    </row>
    <row r="59" spans="1:11" s="18" customFormat="1" ht="15" hidden="1" customHeight="1" x14ac:dyDescent="0.2">
      <c r="A59" s="36"/>
      <c r="B59" s="51" t="s">
        <v>43</v>
      </c>
      <c r="C59" s="32"/>
      <c r="D59" s="104"/>
      <c r="E59" s="104"/>
      <c r="F59" s="409"/>
      <c r="G59" s="405"/>
      <c r="H59" s="496"/>
      <c r="I59" s="416" t="s">
        <v>437</v>
      </c>
      <c r="J59" s="416" t="s">
        <v>437</v>
      </c>
      <c r="K59" s="416" t="s">
        <v>437</v>
      </c>
    </row>
    <row r="60" spans="1:11" s="18" customFormat="1" ht="15" hidden="1" customHeight="1" x14ac:dyDescent="0.2">
      <c r="A60" s="36"/>
      <c r="B60" s="51" t="s">
        <v>158</v>
      </c>
      <c r="C60" s="32"/>
      <c r="D60" s="104"/>
      <c r="E60" s="104"/>
      <c r="F60" s="409"/>
      <c r="G60" s="405"/>
      <c r="H60" s="496"/>
      <c r="I60" s="416" t="s">
        <v>437</v>
      </c>
      <c r="J60" s="416" t="s">
        <v>437</v>
      </c>
      <c r="K60" s="416" t="s">
        <v>437</v>
      </c>
    </row>
    <row r="61" spans="1:11" s="18" customFormat="1" ht="15" hidden="1" customHeight="1" x14ac:dyDescent="0.2">
      <c r="A61" s="36"/>
      <c r="B61" s="51"/>
      <c r="C61" s="32"/>
      <c r="D61" s="104"/>
      <c r="E61" s="104"/>
      <c r="F61" s="410"/>
      <c r="G61" s="405"/>
      <c r="H61" s="496"/>
      <c r="I61" s="416" t="s">
        <v>437</v>
      </c>
      <c r="J61" s="416" t="s">
        <v>437</v>
      </c>
      <c r="K61" s="416" t="s">
        <v>437</v>
      </c>
    </row>
    <row r="62" spans="1:11" s="18" customFormat="1" ht="15" hidden="1" customHeight="1" x14ac:dyDescent="0.2">
      <c r="A62" s="36"/>
      <c r="B62" s="51"/>
      <c r="C62" s="32"/>
      <c r="D62" s="104" t="s">
        <v>154</v>
      </c>
      <c r="E62" s="104" t="s">
        <v>154</v>
      </c>
      <c r="F62" s="97" t="s">
        <v>0</v>
      </c>
      <c r="G62" s="405"/>
      <c r="H62" s="496"/>
      <c r="I62" s="416" t="s">
        <v>437</v>
      </c>
      <c r="J62" s="416" t="s">
        <v>437</v>
      </c>
      <c r="K62" s="416" t="s">
        <v>437</v>
      </c>
    </row>
    <row r="63" spans="1:11" s="18" customFormat="1" ht="15" hidden="1" customHeight="1" x14ac:dyDescent="0.2">
      <c r="A63" s="36"/>
      <c r="B63" s="51"/>
      <c r="C63" s="32"/>
      <c r="D63" s="104"/>
      <c r="E63" s="104"/>
      <c r="F63" s="95" t="s">
        <v>247</v>
      </c>
      <c r="G63" s="405"/>
      <c r="H63" s="497"/>
      <c r="I63" s="416" t="s">
        <v>437</v>
      </c>
      <c r="J63" s="416" t="s">
        <v>437</v>
      </c>
      <c r="K63" s="416" t="s">
        <v>437</v>
      </c>
    </row>
    <row r="64" spans="1:11" s="18" customFormat="1" ht="15" hidden="1" customHeight="1" x14ac:dyDescent="0.2">
      <c r="A64" s="36"/>
      <c r="B64" s="32" t="s">
        <v>159</v>
      </c>
      <c r="C64" s="32"/>
      <c r="D64" s="104"/>
      <c r="E64" s="104"/>
      <c r="F64" s="95" t="s">
        <v>247</v>
      </c>
      <c r="G64" s="405"/>
      <c r="H64" s="497"/>
      <c r="I64" s="416" t="s">
        <v>437</v>
      </c>
      <c r="J64" s="416" t="s">
        <v>437</v>
      </c>
      <c r="K64" s="416" t="s">
        <v>437</v>
      </c>
    </row>
    <row r="65" spans="1:11" s="18" customFormat="1" ht="15" hidden="1" customHeight="1" x14ac:dyDescent="0.2">
      <c r="A65" s="36"/>
      <c r="B65" s="31" t="s">
        <v>160</v>
      </c>
      <c r="C65" s="32"/>
      <c r="D65" s="104"/>
      <c r="E65" s="104"/>
      <c r="F65" s="97" t="s">
        <v>156</v>
      </c>
      <c r="G65" s="405"/>
      <c r="H65" s="499"/>
      <c r="I65" s="416" t="s">
        <v>437</v>
      </c>
      <c r="J65" s="416" t="s">
        <v>437</v>
      </c>
      <c r="K65" s="416" t="s">
        <v>437</v>
      </c>
    </row>
    <row r="66" spans="1:11" s="18" customFormat="1" ht="15" hidden="1" customHeight="1" x14ac:dyDescent="0.2">
      <c r="A66" s="36"/>
      <c r="B66" s="31" t="s">
        <v>162</v>
      </c>
      <c r="C66" s="32"/>
      <c r="D66" s="104"/>
      <c r="E66" s="104"/>
      <c r="F66" s="97" t="s">
        <v>163</v>
      </c>
      <c r="G66" s="405"/>
      <c r="H66" s="497"/>
      <c r="I66" s="416" t="s">
        <v>437</v>
      </c>
      <c r="J66" s="416" t="s">
        <v>437</v>
      </c>
      <c r="K66" s="416" t="s">
        <v>437</v>
      </c>
    </row>
    <row r="67" spans="1:11" s="18" customFormat="1" ht="30" hidden="1" customHeight="1" x14ac:dyDescent="0.2">
      <c r="A67" s="36"/>
      <c r="B67" s="31"/>
      <c r="C67" s="32"/>
      <c r="D67" s="104"/>
      <c r="E67" s="104"/>
      <c r="F67" s="97" t="s">
        <v>164</v>
      </c>
      <c r="G67" s="405"/>
      <c r="H67" s="497"/>
      <c r="I67" s="416" t="s">
        <v>437</v>
      </c>
      <c r="J67" s="416" t="s">
        <v>437</v>
      </c>
      <c r="K67" s="416" t="s">
        <v>437</v>
      </c>
    </row>
    <row r="68" spans="1:11" s="18" customFormat="1" ht="60" hidden="1" customHeight="1" x14ac:dyDescent="0.2">
      <c r="A68" s="36"/>
      <c r="B68" s="31"/>
      <c r="C68" s="32"/>
      <c r="D68" s="114" t="s">
        <v>166</v>
      </c>
      <c r="E68" s="114" t="s">
        <v>167</v>
      </c>
      <c r="F68" s="97" t="s">
        <v>168</v>
      </c>
      <c r="G68" s="405"/>
      <c r="H68" s="496"/>
      <c r="I68" s="416" t="s">
        <v>437</v>
      </c>
      <c r="J68" s="416" t="s">
        <v>437</v>
      </c>
      <c r="K68" s="416" t="s">
        <v>437</v>
      </c>
    </row>
    <row r="69" spans="1:11" s="18" customFormat="1" ht="75" hidden="1" customHeight="1" x14ac:dyDescent="0.2">
      <c r="A69" s="36"/>
      <c r="B69" s="31"/>
      <c r="C69" s="32"/>
      <c r="D69" s="114" t="s">
        <v>58</v>
      </c>
      <c r="E69" s="114" t="s">
        <v>170</v>
      </c>
      <c r="F69" s="97" t="s">
        <v>171</v>
      </c>
      <c r="G69" s="405"/>
      <c r="H69" s="496"/>
      <c r="I69" s="416" t="s">
        <v>437</v>
      </c>
      <c r="J69" s="416" t="s">
        <v>437</v>
      </c>
      <c r="K69" s="416" t="s">
        <v>437</v>
      </c>
    </row>
    <row r="70" spans="1:11" s="18" customFormat="1" ht="15" hidden="1" customHeight="1" x14ac:dyDescent="0.2">
      <c r="A70" s="36"/>
      <c r="B70" s="32" t="s">
        <v>165</v>
      </c>
      <c r="C70" s="32"/>
      <c r="D70" s="114"/>
      <c r="E70" s="114"/>
      <c r="F70" s="97" t="s">
        <v>156</v>
      </c>
      <c r="G70" s="405"/>
      <c r="H70" s="500"/>
      <c r="I70" s="416" t="s">
        <v>437</v>
      </c>
      <c r="J70" s="416" t="s">
        <v>437</v>
      </c>
      <c r="K70" s="416" t="s">
        <v>437</v>
      </c>
    </row>
    <row r="71" spans="1:11" s="18" customFormat="1" ht="75" hidden="1" customHeight="1" x14ac:dyDescent="0.2">
      <c r="A71" s="36"/>
      <c r="B71" s="44" t="s">
        <v>169</v>
      </c>
      <c r="C71" s="44"/>
      <c r="D71" s="114"/>
      <c r="E71" s="114"/>
      <c r="F71" s="97" t="s">
        <v>164</v>
      </c>
      <c r="G71" s="405"/>
      <c r="H71" s="500"/>
      <c r="I71" s="416" t="s">
        <v>437</v>
      </c>
      <c r="J71" s="416" t="s">
        <v>437</v>
      </c>
      <c r="K71" s="416" t="s">
        <v>437</v>
      </c>
    </row>
    <row r="72" spans="1:11" s="18" customFormat="1" ht="30" hidden="1" customHeight="1" x14ac:dyDescent="0.2">
      <c r="A72" s="36"/>
      <c r="B72" s="44"/>
      <c r="C72" s="44"/>
      <c r="D72" s="114" t="s">
        <v>83</v>
      </c>
      <c r="E72" s="114" t="s">
        <v>173</v>
      </c>
      <c r="F72" s="97" t="s">
        <v>174</v>
      </c>
      <c r="G72" s="405"/>
      <c r="H72" s="496"/>
      <c r="I72" s="416" t="s">
        <v>437</v>
      </c>
      <c r="J72" s="416" t="s">
        <v>437</v>
      </c>
      <c r="K72" s="416" t="s">
        <v>437</v>
      </c>
    </row>
    <row r="73" spans="1:11" s="18" customFormat="1" ht="75" hidden="1" customHeight="1" x14ac:dyDescent="0.2">
      <c r="A73" s="36"/>
      <c r="B73" s="44"/>
      <c r="C73" s="44"/>
      <c r="D73" s="114" t="s">
        <v>176</v>
      </c>
      <c r="E73" s="114" t="s">
        <v>54</v>
      </c>
      <c r="F73" s="97" t="s">
        <v>177</v>
      </c>
      <c r="G73" s="405"/>
      <c r="H73" s="496"/>
      <c r="I73" s="416" t="s">
        <v>437</v>
      </c>
      <c r="J73" s="416" t="s">
        <v>437</v>
      </c>
      <c r="K73" s="416" t="s">
        <v>437</v>
      </c>
    </row>
    <row r="74" spans="1:11" s="18" customFormat="1" ht="45" hidden="1" customHeight="1" x14ac:dyDescent="0.2">
      <c r="A74" s="36"/>
      <c r="B74" s="44" t="s">
        <v>172</v>
      </c>
      <c r="C74" s="44"/>
      <c r="D74" s="114"/>
      <c r="E74" s="114"/>
      <c r="F74" s="106" t="s">
        <v>55</v>
      </c>
      <c r="G74" s="405"/>
      <c r="H74" s="501"/>
      <c r="I74" s="416" t="s">
        <v>437</v>
      </c>
      <c r="J74" s="416" t="s">
        <v>437</v>
      </c>
      <c r="K74" s="416" t="s">
        <v>437</v>
      </c>
    </row>
    <row r="75" spans="1:11" s="18" customFormat="1" ht="30" hidden="1" customHeight="1" x14ac:dyDescent="0.2">
      <c r="A75" s="36"/>
      <c r="B75" s="44" t="s">
        <v>175</v>
      </c>
      <c r="C75" s="44"/>
      <c r="D75" s="114" t="s">
        <v>180</v>
      </c>
      <c r="E75" s="114" t="s">
        <v>54</v>
      </c>
      <c r="F75" s="106" t="s">
        <v>181</v>
      </c>
      <c r="G75" s="406"/>
      <c r="H75" s="495"/>
      <c r="I75" s="416" t="s">
        <v>437</v>
      </c>
      <c r="J75" s="416" t="s">
        <v>437</v>
      </c>
      <c r="K75" s="416" t="s">
        <v>437</v>
      </c>
    </row>
    <row r="76" spans="1:11" s="18" customFormat="1" ht="30" hidden="1" customHeight="1" x14ac:dyDescent="0.2">
      <c r="A76" s="36"/>
      <c r="B76" s="46" t="s">
        <v>178</v>
      </c>
      <c r="C76" s="44"/>
      <c r="D76" s="114"/>
      <c r="E76" s="114"/>
      <c r="F76" s="97" t="s">
        <v>163</v>
      </c>
      <c r="G76" s="406"/>
      <c r="H76" s="501"/>
      <c r="I76" s="416" t="s">
        <v>437</v>
      </c>
      <c r="J76" s="416" t="s">
        <v>437</v>
      </c>
      <c r="K76" s="416" t="s">
        <v>437</v>
      </c>
    </row>
    <row r="77" spans="1:11" s="18" customFormat="1" ht="30" hidden="1" customHeight="1" x14ac:dyDescent="0.2">
      <c r="A77" s="36"/>
      <c r="B77" s="46" t="s">
        <v>179</v>
      </c>
      <c r="C77" s="44"/>
      <c r="D77" s="114" t="s">
        <v>183</v>
      </c>
      <c r="E77" s="114" t="s">
        <v>54</v>
      </c>
      <c r="F77" s="106" t="s">
        <v>184</v>
      </c>
      <c r="G77" s="406"/>
      <c r="H77" s="495"/>
      <c r="I77" s="416" t="s">
        <v>437</v>
      </c>
      <c r="J77" s="416" t="s">
        <v>437</v>
      </c>
      <c r="K77" s="416" t="s">
        <v>437</v>
      </c>
    </row>
    <row r="78" spans="1:11" s="18" customFormat="1" ht="60" hidden="1" customHeight="1" x14ac:dyDescent="0.2">
      <c r="A78" s="36"/>
      <c r="B78" s="46"/>
      <c r="C78" s="44"/>
      <c r="D78" s="104" t="s">
        <v>71</v>
      </c>
      <c r="E78" s="104" t="s">
        <v>71</v>
      </c>
      <c r="F78" s="97" t="s">
        <v>72</v>
      </c>
      <c r="G78" s="406"/>
      <c r="H78" s="496"/>
      <c r="I78" s="416" t="s">
        <v>437</v>
      </c>
      <c r="J78" s="416" t="s">
        <v>437</v>
      </c>
      <c r="K78" s="416" t="s">
        <v>437</v>
      </c>
    </row>
    <row r="79" spans="1:11" s="18" customFormat="1" ht="15" hidden="1" customHeight="1" x14ac:dyDescent="0.2">
      <c r="A79" s="36"/>
      <c r="B79" s="46" t="s">
        <v>182</v>
      </c>
      <c r="C79" s="44"/>
      <c r="D79" s="104"/>
      <c r="E79" s="104"/>
      <c r="F79" s="95" t="s">
        <v>187</v>
      </c>
      <c r="G79" s="405"/>
      <c r="H79" s="497"/>
      <c r="I79" s="416" t="s">
        <v>437</v>
      </c>
      <c r="J79" s="416" t="s">
        <v>437</v>
      </c>
      <c r="K79" s="416" t="s">
        <v>437</v>
      </c>
    </row>
    <row r="80" spans="1:11" s="18" customFormat="1" ht="75" hidden="1" customHeight="1" x14ac:dyDescent="0.2">
      <c r="A80" s="36"/>
      <c r="B80" s="44" t="s">
        <v>185</v>
      </c>
      <c r="C80" s="44"/>
      <c r="D80" s="104"/>
      <c r="E80" s="104"/>
      <c r="F80" s="95" t="s">
        <v>187</v>
      </c>
      <c r="G80" s="405"/>
      <c r="H80" s="497"/>
      <c r="I80" s="416" t="s">
        <v>437</v>
      </c>
      <c r="J80" s="416" t="s">
        <v>437</v>
      </c>
      <c r="K80" s="416" t="s">
        <v>437</v>
      </c>
    </row>
    <row r="81" spans="1:11" s="18" customFormat="1" ht="15" hidden="1" customHeight="1" x14ac:dyDescent="0.2">
      <c r="A81" s="36"/>
      <c r="B81" s="31" t="s">
        <v>186</v>
      </c>
      <c r="C81" s="32"/>
      <c r="D81" s="114" t="s">
        <v>190</v>
      </c>
      <c r="E81" s="114" t="s">
        <v>173</v>
      </c>
      <c r="F81" s="97" t="s">
        <v>191</v>
      </c>
      <c r="G81" s="405"/>
      <c r="H81" s="496"/>
      <c r="I81" s="416" t="s">
        <v>437</v>
      </c>
      <c r="J81" s="416" t="s">
        <v>437</v>
      </c>
      <c r="K81" s="416" t="s">
        <v>437</v>
      </c>
    </row>
    <row r="82" spans="1:11" s="18" customFormat="1" ht="15" hidden="1" customHeight="1" x14ac:dyDescent="0.2">
      <c r="A82" s="36"/>
      <c r="B82" s="31" t="s">
        <v>188</v>
      </c>
      <c r="C82" s="32"/>
      <c r="D82" s="114" t="s">
        <v>193</v>
      </c>
      <c r="E82" s="114" t="s">
        <v>194</v>
      </c>
      <c r="F82" s="97" t="s">
        <v>195</v>
      </c>
      <c r="G82" s="405"/>
      <c r="H82" s="496"/>
      <c r="I82" s="416" t="s">
        <v>437</v>
      </c>
      <c r="J82" s="416" t="s">
        <v>437</v>
      </c>
      <c r="K82" s="416" t="s">
        <v>437</v>
      </c>
    </row>
    <row r="83" spans="1:11" s="18" customFormat="1" ht="60" hidden="1" customHeight="1" x14ac:dyDescent="0.2">
      <c r="A83" s="36"/>
      <c r="B83" s="44" t="s">
        <v>189</v>
      </c>
      <c r="C83" s="44"/>
      <c r="D83" s="114" t="s">
        <v>197</v>
      </c>
      <c r="E83" s="114" t="s">
        <v>198</v>
      </c>
      <c r="F83" s="97" t="s">
        <v>199</v>
      </c>
      <c r="G83" s="405"/>
      <c r="H83" s="496"/>
      <c r="I83" s="416" t="s">
        <v>437</v>
      </c>
      <c r="J83" s="416" t="s">
        <v>437</v>
      </c>
      <c r="K83" s="416" t="s">
        <v>437</v>
      </c>
    </row>
    <row r="84" spans="1:11" s="18" customFormat="1" ht="15" hidden="1" customHeight="1" x14ac:dyDescent="0.2">
      <c r="A84" s="36"/>
      <c r="B84" s="44" t="s">
        <v>192</v>
      </c>
      <c r="C84" s="44"/>
      <c r="D84" s="114" t="s">
        <v>201</v>
      </c>
      <c r="E84" s="114" t="s">
        <v>202</v>
      </c>
      <c r="F84" s="97" t="s">
        <v>203</v>
      </c>
      <c r="G84" s="405"/>
      <c r="H84" s="496"/>
      <c r="I84" s="416" t="s">
        <v>437</v>
      </c>
      <c r="J84" s="416" t="s">
        <v>437</v>
      </c>
      <c r="K84" s="416" t="s">
        <v>437</v>
      </c>
    </row>
    <row r="85" spans="1:11" s="18" customFormat="1" ht="45" hidden="1" customHeight="1" x14ac:dyDescent="0.2">
      <c r="A85" s="36"/>
      <c r="B85" s="44" t="s">
        <v>196</v>
      </c>
      <c r="C85" s="44"/>
      <c r="D85" s="114" t="s">
        <v>205</v>
      </c>
      <c r="E85" s="114" t="s">
        <v>202</v>
      </c>
      <c r="F85" s="97" t="s">
        <v>206</v>
      </c>
      <c r="G85" s="405"/>
      <c r="H85" s="496"/>
      <c r="I85" s="416" t="s">
        <v>437</v>
      </c>
      <c r="J85" s="416" t="s">
        <v>437</v>
      </c>
      <c r="K85" s="416" t="s">
        <v>437</v>
      </c>
    </row>
    <row r="86" spans="1:11" s="18" customFormat="1" ht="30" hidden="1" customHeight="1" x14ac:dyDescent="0.2">
      <c r="A86" s="36"/>
      <c r="B86" s="44" t="s">
        <v>200</v>
      </c>
      <c r="C86" s="44"/>
      <c r="D86" s="114" t="s">
        <v>208</v>
      </c>
      <c r="E86" s="114" t="s">
        <v>119</v>
      </c>
      <c r="F86" s="97" t="s">
        <v>209</v>
      </c>
      <c r="G86" s="405"/>
      <c r="H86" s="496"/>
      <c r="I86" s="416" t="s">
        <v>437</v>
      </c>
      <c r="J86" s="416" t="s">
        <v>437</v>
      </c>
      <c r="K86" s="416" t="s">
        <v>437</v>
      </c>
    </row>
    <row r="87" spans="1:11" s="18" customFormat="1" ht="0.75" customHeight="1" x14ac:dyDescent="0.2">
      <c r="A87" s="36"/>
      <c r="B87" s="44" t="s">
        <v>204</v>
      </c>
      <c r="C87" s="44"/>
      <c r="D87" s="114" t="s">
        <v>211</v>
      </c>
      <c r="E87" s="114" t="s">
        <v>212</v>
      </c>
      <c r="F87" s="97" t="s">
        <v>213</v>
      </c>
      <c r="G87" s="405"/>
      <c r="H87" s="496"/>
      <c r="I87" s="416" t="s">
        <v>437</v>
      </c>
      <c r="J87" s="416" t="s">
        <v>437</v>
      </c>
      <c r="K87" s="416" t="s">
        <v>437</v>
      </c>
    </row>
    <row r="88" spans="1:11" s="18" customFormat="1" ht="50.25" customHeight="1" x14ac:dyDescent="0.2">
      <c r="A88" s="36"/>
      <c r="B88" s="44"/>
      <c r="C88" s="44"/>
      <c r="D88" s="114"/>
      <c r="E88" s="114"/>
      <c r="F88" s="411" t="s">
        <v>426</v>
      </c>
      <c r="G88" s="411" t="s">
        <v>425</v>
      </c>
      <c r="H88" s="493">
        <v>497518</v>
      </c>
      <c r="I88" s="416" t="s">
        <v>437</v>
      </c>
      <c r="J88" s="416" t="s">
        <v>437</v>
      </c>
      <c r="K88" s="416" t="s">
        <v>437</v>
      </c>
    </row>
    <row r="89" spans="1:11" s="18" customFormat="1" ht="63" customHeight="1" x14ac:dyDescent="0.2">
      <c r="A89" s="36"/>
      <c r="B89" s="44"/>
      <c r="C89" s="44"/>
      <c r="D89" s="104" t="s">
        <v>124</v>
      </c>
      <c r="E89" s="411"/>
      <c r="F89" s="411" t="s">
        <v>127</v>
      </c>
      <c r="G89" s="411" t="s">
        <v>427</v>
      </c>
      <c r="H89" s="493">
        <v>45100</v>
      </c>
      <c r="I89" s="416" t="s">
        <v>437</v>
      </c>
      <c r="J89" s="416" t="s">
        <v>437</v>
      </c>
      <c r="K89" s="416" t="s">
        <v>437</v>
      </c>
    </row>
    <row r="90" spans="1:11" s="18" customFormat="1" ht="114" customHeight="1" x14ac:dyDescent="0.2">
      <c r="A90" s="36"/>
      <c r="B90" s="44"/>
      <c r="C90" s="44"/>
      <c r="D90" s="104" t="s">
        <v>124</v>
      </c>
      <c r="E90" s="411"/>
      <c r="F90" s="411" t="s">
        <v>127</v>
      </c>
      <c r="G90" s="411" t="s">
        <v>428</v>
      </c>
      <c r="H90" s="493">
        <v>40375</v>
      </c>
      <c r="I90" s="416" t="s">
        <v>437</v>
      </c>
      <c r="J90" s="416" t="s">
        <v>437</v>
      </c>
      <c r="K90" s="416" t="s">
        <v>437</v>
      </c>
    </row>
    <row r="91" spans="1:11" s="18" customFormat="1" ht="99" customHeight="1" x14ac:dyDescent="0.2">
      <c r="A91" s="36"/>
      <c r="B91" s="44"/>
      <c r="C91" s="44"/>
      <c r="D91" s="104" t="s">
        <v>124</v>
      </c>
      <c r="E91" s="411"/>
      <c r="F91" s="411" t="s">
        <v>127</v>
      </c>
      <c r="G91" s="411" t="s">
        <v>429</v>
      </c>
      <c r="H91" s="493">
        <v>100000</v>
      </c>
      <c r="I91" s="416" t="s">
        <v>437</v>
      </c>
      <c r="J91" s="416" t="s">
        <v>437</v>
      </c>
      <c r="K91" s="416" t="s">
        <v>437</v>
      </c>
    </row>
    <row r="92" spans="1:11" s="18" customFormat="1" ht="115.5" customHeight="1" x14ac:dyDescent="0.2">
      <c r="A92" s="36"/>
      <c r="B92" s="44"/>
      <c r="C92" s="44"/>
      <c r="D92" s="413" t="s">
        <v>431</v>
      </c>
      <c r="E92" s="411"/>
      <c r="F92" s="411" t="s">
        <v>432</v>
      </c>
      <c r="G92" s="411" t="s">
        <v>433</v>
      </c>
      <c r="H92" s="493">
        <v>1544552</v>
      </c>
      <c r="I92" s="416" t="s">
        <v>437</v>
      </c>
      <c r="J92" s="416" t="s">
        <v>437</v>
      </c>
      <c r="K92" s="416" t="s">
        <v>437</v>
      </c>
    </row>
    <row r="93" spans="1:11" s="18" customFormat="1" ht="128.25" customHeight="1" x14ac:dyDescent="0.2">
      <c r="A93" s="36"/>
      <c r="B93" s="44"/>
      <c r="C93" s="44"/>
      <c r="D93" s="413" t="s">
        <v>431</v>
      </c>
      <c r="E93" s="411"/>
      <c r="F93" s="411" t="s">
        <v>432</v>
      </c>
      <c r="G93" s="411" t="s">
        <v>434</v>
      </c>
      <c r="H93" s="493">
        <v>48450</v>
      </c>
      <c r="I93" s="416" t="s">
        <v>437</v>
      </c>
      <c r="J93" s="416" t="s">
        <v>437</v>
      </c>
      <c r="K93" s="416" t="s">
        <v>437</v>
      </c>
    </row>
    <row r="94" spans="1:11" s="18" customFormat="1" ht="93" customHeight="1" x14ac:dyDescent="0.2">
      <c r="A94" s="36"/>
      <c r="B94" s="44"/>
      <c r="C94" s="44"/>
      <c r="D94" s="413">
        <v>1014060</v>
      </c>
      <c r="E94" s="411"/>
      <c r="F94" s="411" t="s">
        <v>199</v>
      </c>
      <c r="G94" s="411" t="s">
        <v>430</v>
      </c>
      <c r="H94" s="493">
        <v>29534</v>
      </c>
      <c r="I94" s="416" t="s">
        <v>437</v>
      </c>
      <c r="J94" s="416" t="s">
        <v>437</v>
      </c>
      <c r="K94" s="416" t="s">
        <v>437</v>
      </c>
    </row>
    <row r="95" spans="1:11" s="18" customFormat="1" ht="74.25" customHeight="1" x14ac:dyDescent="0.2">
      <c r="A95" s="36"/>
      <c r="B95" s="33"/>
      <c r="C95" s="33"/>
      <c r="D95" s="104"/>
      <c r="E95" s="104"/>
      <c r="F95" s="95" t="s">
        <v>277</v>
      </c>
      <c r="G95" s="405"/>
      <c r="H95" s="502">
        <f>SUM(H8:H94)-H88</f>
        <v>10232368</v>
      </c>
      <c r="I95" s="416" t="s">
        <v>437</v>
      </c>
      <c r="J95" s="416" t="s">
        <v>437</v>
      </c>
      <c r="K95" s="416" t="s">
        <v>437</v>
      </c>
    </row>
    <row r="97" spans="6:13" ht="15" x14ac:dyDescent="0.25">
      <c r="F97" s="396"/>
      <c r="G97" s="396"/>
      <c r="H97" s="396"/>
    </row>
    <row r="98" spans="6:13" s="16" customFormat="1" ht="15" x14ac:dyDescent="0.25">
      <c r="F98" s="396"/>
      <c r="G98" s="396"/>
      <c r="H98" s="396"/>
      <c r="K98" s="395"/>
      <c r="L98" s="19"/>
      <c r="M98" s="19"/>
    </row>
    <row r="99" spans="6:13" ht="15.75" x14ac:dyDescent="0.25">
      <c r="F99" s="13" t="s">
        <v>445</v>
      </c>
      <c r="G99" s="13"/>
      <c r="H99" s="13"/>
      <c r="I99" s="13"/>
      <c r="J99" s="13" t="s">
        <v>439</v>
      </c>
      <c r="K99" s="503"/>
    </row>
  </sheetData>
  <mergeCells count="2">
    <mergeCell ref="B1:J1"/>
    <mergeCell ref="B5:K5"/>
  </mergeCells>
  <printOptions horizontalCentered="1"/>
  <pageMargins left="1.1811023622047245" right="0.39370078740157483" top="0.78740157480314965" bottom="0.78740157480314965" header="0.51181102362204722" footer="0.31496062992125984"/>
  <pageSetup paperSize="9" scale="80" fitToHeight="4" orientation="portrait" horizontalDpi="360" verticalDpi="36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AQ149"/>
  <sheetViews>
    <sheetView showZeros="0" topLeftCell="W1" zoomScaleNormal="100" zoomScaleSheetLayoutView="90" workbookViewId="0">
      <selection activeCell="W2" sqref="A2:XFD149"/>
    </sheetView>
  </sheetViews>
  <sheetFormatPr defaultColWidth="7.85546875" defaultRowHeight="12.75" x14ac:dyDescent="0.2"/>
  <cols>
    <col min="1" max="1" width="3.28515625" style="16" customWidth="1"/>
    <col min="2" max="2" width="10.28515625" style="16" customWidth="1"/>
    <col min="3" max="3" width="0.140625" style="16" hidden="1" customWidth="1"/>
    <col min="4" max="4" width="19.5703125" style="16" customWidth="1"/>
    <col min="5" max="5" width="11.7109375" style="16" customWidth="1"/>
    <col min="6" max="6" width="48.42578125" style="16" customWidth="1"/>
    <col min="7" max="7" width="13.140625" style="16" customWidth="1"/>
    <col min="8" max="8" width="12.7109375" style="16" customWidth="1"/>
    <col min="9" max="16" width="11.42578125" style="16" customWidth="1"/>
    <col min="17" max="19" width="10.85546875" style="16" customWidth="1"/>
    <col min="20" max="20" width="11.28515625" style="153" customWidth="1"/>
    <col min="21" max="21" width="12" style="153" customWidth="1"/>
    <col min="22" max="22" width="9.5703125" style="140" customWidth="1"/>
    <col min="23" max="23" width="9" style="140" customWidth="1"/>
    <col min="24" max="25" width="9" style="173" customWidth="1"/>
    <col min="26" max="26" width="11.28515625" style="140" customWidth="1"/>
    <col min="27" max="27" width="10.5703125" style="140" customWidth="1"/>
    <col min="28" max="35" width="9.5703125" style="140" customWidth="1"/>
    <col min="36" max="38" width="10" style="140" customWidth="1"/>
    <col min="39" max="40" width="10" style="162" customWidth="1"/>
    <col min="41" max="41" width="9.28515625" style="140" customWidth="1"/>
    <col min="42" max="42" width="11.5703125" style="16" customWidth="1"/>
    <col min="43" max="43" width="16.85546875" style="19" customWidth="1"/>
    <col min="44" max="16384" width="7.85546875" style="19"/>
  </cols>
  <sheetData>
    <row r="1" spans="1:43" ht="15.75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143"/>
      <c r="U1" s="143"/>
      <c r="V1" s="65"/>
      <c r="W1" s="65"/>
      <c r="X1" s="163"/>
      <c r="Y1" s="163"/>
      <c r="Z1" s="65"/>
      <c r="AA1" s="478" t="s">
        <v>220</v>
      </c>
      <c r="AB1" s="478"/>
      <c r="AC1" s="478"/>
      <c r="AD1" s="478"/>
      <c r="AE1" s="478"/>
      <c r="AF1" s="478"/>
      <c r="AG1" s="478"/>
      <c r="AH1" s="478"/>
      <c r="AI1" s="478"/>
      <c r="AJ1" s="478"/>
      <c r="AK1" s="154"/>
      <c r="AL1" s="154"/>
      <c r="AM1" s="155"/>
      <c r="AN1" s="155"/>
      <c r="AO1" s="65"/>
      <c r="AP1" s="64"/>
      <c r="AQ1" s="66"/>
    </row>
    <row r="2" spans="1:43" ht="15.75" hidden="1" x14ac:dyDescent="0.25"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143"/>
      <c r="U2" s="143"/>
      <c r="V2" s="65"/>
      <c r="W2" s="65"/>
      <c r="X2" s="163"/>
      <c r="Y2" s="163"/>
      <c r="Z2" s="65"/>
      <c r="AA2" s="67" t="s">
        <v>221</v>
      </c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156"/>
      <c r="AN2" s="156"/>
      <c r="AO2" s="65"/>
      <c r="AP2" s="64"/>
      <c r="AQ2" s="66"/>
    </row>
    <row r="3" spans="1:43" ht="15.75" hidden="1" x14ac:dyDescent="0.25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143"/>
      <c r="U3" s="143"/>
      <c r="V3" s="65"/>
      <c r="W3" s="65"/>
      <c r="X3" s="163"/>
      <c r="Y3" s="163"/>
      <c r="Z3" s="65"/>
      <c r="AA3" s="67" t="s">
        <v>222</v>
      </c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156"/>
      <c r="AN3" s="156"/>
      <c r="AO3" s="65"/>
      <c r="AP3" s="64"/>
      <c r="AQ3" s="66"/>
    </row>
    <row r="4" spans="1:43" ht="15.75" hidden="1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143"/>
      <c r="U4" s="143"/>
      <c r="V4" s="65"/>
      <c r="W4" s="65"/>
      <c r="X4" s="163"/>
      <c r="Y4" s="163"/>
      <c r="Z4" s="65"/>
      <c r="AA4" s="67" t="s">
        <v>223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156"/>
      <c r="AN4" s="156"/>
      <c r="AO4" s="65"/>
      <c r="AP4" s="64"/>
      <c r="AQ4" s="66"/>
    </row>
    <row r="5" spans="1:43" ht="49.5" hidden="1" customHeight="1" x14ac:dyDescent="0.2">
      <c r="B5" s="461" t="s">
        <v>224</v>
      </c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66"/>
    </row>
    <row r="6" spans="1:43" ht="18" hidden="1" customHeight="1" x14ac:dyDescent="0.3">
      <c r="B6" s="69"/>
      <c r="C6" s="69"/>
      <c r="D6" s="70">
        <v>11503000000</v>
      </c>
      <c r="E6" s="69"/>
      <c r="F6" s="71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144"/>
      <c r="U6" s="144"/>
      <c r="V6" s="69"/>
      <c r="W6" s="69"/>
      <c r="X6" s="164"/>
      <c r="Y6" s="164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144"/>
      <c r="AN6" s="144"/>
      <c r="AO6" s="69"/>
      <c r="AP6" s="69"/>
      <c r="AQ6" s="66"/>
    </row>
    <row r="7" spans="1:43" ht="19.5" hidden="1" customHeight="1" x14ac:dyDescent="0.3">
      <c r="B7" s="69"/>
      <c r="C7" s="69"/>
      <c r="D7" s="70" t="s">
        <v>225</v>
      </c>
      <c r="E7" s="69"/>
      <c r="F7" s="71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144"/>
      <c r="U7" s="144"/>
      <c r="V7" s="69"/>
      <c r="W7" s="69"/>
      <c r="X7" s="164"/>
      <c r="Y7" s="164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144"/>
      <c r="AN7" s="144"/>
      <c r="AO7" s="69"/>
      <c r="AP7" s="69"/>
      <c r="AQ7" s="66"/>
    </row>
    <row r="8" spans="1:43" ht="15.75" hidden="1" customHeight="1" thickBot="1" x14ac:dyDescent="0.35">
      <c r="B8" s="72"/>
      <c r="C8" s="73"/>
      <c r="D8" s="73"/>
      <c r="E8" s="73"/>
      <c r="F8" s="73"/>
      <c r="G8" s="73"/>
      <c r="H8" s="73"/>
      <c r="I8" s="74"/>
      <c r="J8" s="74"/>
      <c r="K8" s="74"/>
      <c r="L8" s="74"/>
      <c r="M8" s="74"/>
      <c r="N8" s="74"/>
      <c r="O8" s="74"/>
      <c r="P8" s="74"/>
      <c r="Q8" s="73"/>
      <c r="R8" s="73"/>
      <c r="S8" s="73"/>
      <c r="T8" s="145"/>
      <c r="U8" s="145"/>
      <c r="V8" s="75"/>
      <c r="W8" s="76"/>
      <c r="X8" s="165"/>
      <c r="Y8" s="165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157"/>
      <c r="AN8" s="157"/>
      <c r="AO8" s="76"/>
      <c r="AP8" s="77" t="s">
        <v>226</v>
      </c>
    </row>
    <row r="9" spans="1:43" s="18" customFormat="1" ht="21.75" hidden="1" customHeight="1" x14ac:dyDescent="0.2">
      <c r="A9" s="22"/>
      <c r="B9" s="479" t="s">
        <v>19</v>
      </c>
      <c r="C9" s="481" t="s">
        <v>20</v>
      </c>
      <c r="D9" s="481" t="s">
        <v>227</v>
      </c>
      <c r="E9" s="481" t="s">
        <v>22</v>
      </c>
      <c r="F9" s="486" t="s">
        <v>228</v>
      </c>
      <c r="G9" s="475" t="s">
        <v>4</v>
      </c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146"/>
      <c r="V9" s="475" t="s">
        <v>5</v>
      </c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88" t="s">
        <v>14</v>
      </c>
    </row>
    <row r="10" spans="1:43" s="18" customFormat="1" ht="16.5" hidden="1" customHeight="1" x14ac:dyDescent="0.2">
      <c r="A10" s="23"/>
      <c r="B10" s="480"/>
      <c r="C10" s="463"/>
      <c r="D10" s="482"/>
      <c r="E10" s="482"/>
      <c r="F10" s="487"/>
      <c r="G10" s="476" t="s">
        <v>28</v>
      </c>
      <c r="H10" s="470" t="s">
        <v>229</v>
      </c>
      <c r="I10" s="476" t="s">
        <v>230</v>
      </c>
      <c r="J10" s="476"/>
      <c r="K10" s="476"/>
      <c r="L10" s="476"/>
      <c r="M10" s="476"/>
      <c r="N10" s="476"/>
      <c r="O10" s="476"/>
      <c r="P10" s="476"/>
      <c r="Q10" s="476"/>
      <c r="R10" s="142"/>
      <c r="S10" s="142"/>
      <c r="T10" s="472" t="s">
        <v>268</v>
      </c>
      <c r="U10" s="472" t="s">
        <v>269</v>
      </c>
      <c r="V10" s="476" t="s">
        <v>28</v>
      </c>
      <c r="W10" s="78"/>
      <c r="X10" s="166"/>
      <c r="Y10" s="166"/>
      <c r="Z10" s="471" t="s">
        <v>232</v>
      </c>
      <c r="AA10" s="79"/>
      <c r="AB10" s="483" t="s">
        <v>230</v>
      </c>
      <c r="AC10" s="484"/>
      <c r="AD10" s="484"/>
      <c r="AE10" s="484"/>
      <c r="AF10" s="484"/>
      <c r="AG10" s="484"/>
      <c r="AH10" s="484"/>
      <c r="AI10" s="484"/>
      <c r="AJ10" s="485"/>
      <c r="AK10" s="142"/>
      <c r="AL10" s="142"/>
      <c r="AM10" s="472" t="s">
        <v>268</v>
      </c>
      <c r="AN10" s="472" t="s">
        <v>269</v>
      </c>
      <c r="AO10" s="470" t="s">
        <v>231</v>
      </c>
      <c r="AP10" s="489"/>
    </row>
    <row r="11" spans="1:43" s="18" customFormat="1" ht="134.25" hidden="1" customHeight="1" thickBot="1" x14ac:dyDescent="0.25">
      <c r="A11" s="24"/>
      <c r="B11" s="480"/>
      <c r="C11" s="463"/>
      <c r="D11" s="482"/>
      <c r="E11" s="482"/>
      <c r="F11" s="487"/>
      <c r="G11" s="477"/>
      <c r="H11" s="471"/>
      <c r="I11" s="79" t="s">
        <v>233</v>
      </c>
      <c r="J11" s="79" t="s">
        <v>261</v>
      </c>
      <c r="K11" s="79" t="s">
        <v>262</v>
      </c>
      <c r="L11" s="79" t="s">
        <v>263</v>
      </c>
      <c r="M11" s="79" t="s">
        <v>264</v>
      </c>
      <c r="N11" s="79" t="s">
        <v>267</v>
      </c>
      <c r="O11" s="79" t="s">
        <v>265</v>
      </c>
      <c r="P11" s="79" t="s">
        <v>266</v>
      </c>
      <c r="Q11" s="79" t="s">
        <v>234</v>
      </c>
      <c r="R11" s="79" t="s">
        <v>270</v>
      </c>
      <c r="S11" s="79" t="s">
        <v>271</v>
      </c>
      <c r="T11" s="473"/>
      <c r="U11" s="473"/>
      <c r="V11" s="477"/>
      <c r="W11" s="80" t="s">
        <v>27</v>
      </c>
      <c r="X11" s="167" t="s">
        <v>272</v>
      </c>
      <c r="Y11" s="167" t="s">
        <v>273</v>
      </c>
      <c r="Z11" s="474"/>
      <c r="AA11" s="80" t="s">
        <v>229</v>
      </c>
      <c r="AB11" s="79" t="s">
        <v>233</v>
      </c>
      <c r="AC11" s="79" t="s">
        <v>261</v>
      </c>
      <c r="AD11" s="79" t="s">
        <v>262</v>
      </c>
      <c r="AE11" s="79" t="s">
        <v>263</v>
      </c>
      <c r="AF11" s="79" t="s">
        <v>264</v>
      </c>
      <c r="AG11" s="79" t="s">
        <v>267</v>
      </c>
      <c r="AH11" s="79" t="s">
        <v>265</v>
      </c>
      <c r="AI11" s="79" t="s">
        <v>266</v>
      </c>
      <c r="AJ11" s="79" t="s">
        <v>234</v>
      </c>
      <c r="AK11" s="79" t="s">
        <v>270</v>
      </c>
      <c r="AL11" s="79" t="s">
        <v>271</v>
      </c>
      <c r="AM11" s="473"/>
      <c r="AN11" s="473"/>
      <c r="AO11" s="471"/>
      <c r="AP11" s="489"/>
    </row>
    <row r="12" spans="1:43" s="30" customFormat="1" ht="21.6" hidden="1" customHeight="1" thickBot="1" x14ac:dyDescent="0.25">
      <c r="A12" s="25"/>
      <c r="B12" s="81" t="s">
        <v>29</v>
      </c>
      <c r="C12" s="82"/>
      <c r="D12" s="82" t="s">
        <v>235</v>
      </c>
      <c r="E12" s="82" t="s">
        <v>30</v>
      </c>
      <c r="F12" s="83">
        <v>4</v>
      </c>
      <c r="G12" s="84">
        <v>5</v>
      </c>
      <c r="H12" s="84">
        <v>6</v>
      </c>
      <c r="I12" s="84">
        <v>7</v>
      </c>
      <c r="J12" s="84"/>
      <c r="K12" s="84"/>
      <c r="L12" s="84"/>
      <c r="M12" s="84"/>
      <c r="N12" s="84"/>
      <c r="O12" s="84"/>
      <c r="P12" s="84"/>
      <c r="Q12" s="84">
        <v>8</v>
      </c>
      <c r="R12" s="84"/>
      <c r="S12" s="84"/>
      <c r="T12" s="147">
        <v>9</v>
      </c>
      <c r="U12" s="147"/>
      <c r="V12" s="85">
        <v>10</v>
      </c>
      <c r="W12" s="85">
        <v>11</v>
      </c>
      <c r="X12" s="168"/>
      <c r="Y12" s="168"/>
      <c r="Z12" s="85">
        <v>12</v>
      </c>
      <c r="AA12" s="85">
        <v>13</v>
      </c>
      <c r="AB12" s="85">
        <v>14</v>
      </c>
      <c r="AC12" s="85"/>
      <c r="AD12" s="85"/>
      <c r="AE12" s="85"/>
      <c r="AF12" s="85"/>
      <c r="AG12" s="85"/>
      <c r="AH12" s="85"/>
      <c r="AI12" s="85"/>
      <c r="AJ12" s="85">
        <v>15</v>
      </c>
      <c r="AK12" s="85"/>
      <c r="AL12" s="85"/>
      <c r="AM12" s="158"/>
      <c r="AN12" s="158"/>
      <c r="AO12" s="85">
        <v>16</v>
      </c>
      <c r="AP12" s="86">
        <v>17</v>
      </c>
    </row>
    <row r="13" spans="1:43" s="30" customFormat="1" ht="21.6" hidden="1" customHeight="1" x14ac:dyDescent="0.2">
      <c r="A13" s="25"/>
      <c r="B13" s="87" t="s">
        <v>31</v>
      </c>
      <c r="C13" s="88"/>
      <c r="D13" s="88"/>
      <c r="E13" s="88"/>
      <c r="F13" s="89" t="s">
        <v>236</v>
      </c>
      <c r="G13" s="90">
        <f>G14</f>
        <v>34469494</v>
      </c>
      <c r="H13" s="90">
        <f t="shared" ref="H13:AP13" si="0">H14</f>
        <v>34369494</v>
      </c>
      <c r="I13" s="90">
        <f t="shared" si="0"/>
        <v>19107641</v>
      </c>
      <c r="J13" s="90">
        <f t="shared" si="0"/>
        <v>4203681.0200000005</v>
      </c>
      <c r="K13" s="90">
        <f t="shared" si="0"/>
        <v>23311322.020000003</v>
      </c>
      <c r="L13" s="90">
        <f t="shared" si="0"/>
        <v>25176227.781600002</v>
      </c>
      <c r="M13" s="90">
        <f t="shared" si="0"/>
        <v>27114797.320783202</v>
      </c>
      <c r="N13" s="90">
        <f t="shared" si="0"/>
        <v>9634418.9800000004</v>
      </c>
      <c r="O13" s="90">
        <f t="shared" si="0"/>
        <v>10145043.185939999</v>
      </c>
      <c r="P13" s="90">
        <f t="shared" si="0"/>
        <v>10662440.38842294</v>
      </c>
      <c r="Q13" s="90">
        <f t="shared" si="0"/>
        <v>1423753</v>
      </c>
      <c r="R13" s="90">
        <f t="shared" si="0"/>
        <v>1537653.24</v>
      </c>
      <c r="S13" s="90">
        <f t="shared" si="0"/>
        <v>1631450.08764</v>
      </c>
      <c r="T13" s="148">
        <f t="shared" si="0"/>
        <v>36964224.207540005</v>
      </c>
      <c r="U13" s="148">
        <f t="shared" si="0"/>
        <v>39519358.096846141</v>
      </c>
      <c r="V13" s="91">
        <f t="shared" si="0"/>
        <v>2314500</v>
      </c>
      <c r="W13" s="91">
        <f t="shared" si="0"/>
        <v>2200000</v>
      </c>
      <c r="X13" s="91">
        <f t="shared" si="0"/>
        <v>2316600</v>
      </c>
      <c r="Y13" s="91">
        <f t="shared" si="0"/>
        <v>2434746.5999999996</v>
      </c>
      <c r="Z13" s="91">
        <f t="shared" si="0"/>
        <v>2100000</v>
      </c>
      <c r="AA13" s="91">
        <f t="shared" si="0"/>
        <v>114500</v>
      </c>
      <c r="AB13" s="91">
        <f t="shared" si="0"/>
        <v>0</v>
      </c>
      <c r="AC13" s="91">
        <f t="shared" si="0"/>
        <v>0</v>
      </c>
      <c r="AD13" s="91">
        <f t="shared" si="0"/>
        <v>0</v>
      </c>
      <c r="AE13" s="91">
        <f t="shared" si="0"/>
        <v>0</v>
      </c>
      <c r="AF13" s="91">
        <f t="shared" si="0"/>
        <v>0</v>
      </c>
      <c r="AG13" s="91">
        <f t="shared" si="0"/>
        <v>2314500</v>
      </c>
      <c r="AH13" s="91">
        <f t="shared" si="0"/>
        <v>2437168.5</v>
      </c>
      <c r="AI13" s="91">
        <f t="shared" si="0"/>
        <v>2561464.0935</v>
      </c>
      <c r="AJ13" s="91">
        <f t="shared" si="0"/>
        <v>0</v>
      </c>
      <c r="AK13" s="91">
        <f t="shared" si="0"/>
        <v>0</v>
      </c>
      <c r="AL13" s="91">
        <f t="shared" si="0"/>
        <v>0</v>
      </c>
      <c r="AM13" s="159">
        <f t="shared" si="0"/>
        <v>2437168.5</v>
      </c>
      <c r="AN13" s="159">
        <f t="shared" si="0"/>
        <v>2561464.0935</v>
      </c>
      <c r="AO13" s="91">
        <f t="shared" si="0"/>
        <v>2200000</v>
      </c>
      <c r="AP13" s="92">
        <f t="shared" si="0"/>
        <v>36783994</v>
      </c>
    </row>
    <row r="14" spans="1:43" s="18" customFormat="1" ht="15.75" hidden="1" x14ac:dyDescent="0.2">
      <c r="A14" s="36"/>
      <c r="B14" s="93" t="s">
        <v>34</v>
      </c>
      <c r="C14" s="94"/>
      <c r="D14" s="94"/>
      <c r="E14" s="94"/>
      <c r="F14" s="95" t="s">
        <v>237</v>
      </c>
      <c r="G14" s="96">
        <f t="shared" ref="G14:AP14" si="1">G18+G20+G23+G24+G25+G26+G27+G28+G29+G30+G31+G32+G33+G34+G35+G36+G38+G42+G43+G44+G45+G46+G47+G48+G49+G50+G51+G52+G53+G54+G55+G56+G57+G58+G59+G60+G67</f>
        <v>34469494</v>
      </c>
      <c r="H14" s="96">
        <f t="shared" si="1"/>
        <v>34369494</v>
      </c>
      <c r="I14" s="96">
        <f t="shared" si="1"/>
        <v>19107641</v>
      </c>
      <c r="J14" s="96">
        <f t="shared" si="1"/>
        <v>4203681.0200000005</v>
      </c>
      <c r="K14" s="96">
        <f t="shared" si="1"/>
        <v>23311322.020000003</v>
      </c>
      <c r="L14" s="96">
        <f t="shared" si="1"/>
        <v>25176227.781600002</v>
      </c>
      <c r="M14" s="96">
        <f t="shared" si="1"/>
        <v>27114797.320783202</v>
      </c>
      <c r="N14" s="96">
        <f t="shared" si="1"/>
        <v>9634418.9800000004</v>
      </c>
      <c r="O14" s="96">
        <f t="shared" si="1"/>
        <v>10145043.185939999</v>
      </c>
      <c r="P14" s="96">
        <f t="shared" si="1"/>
        <v>10662440.38842294</v>
      </c>
      <c r="Q14" s="96">
        <f t="shared" si="1"/>
        <v>1423753</v>
      </c>
      <c r="R14" s="96">
        <f t="shared" si="1"/>
        <v>1537653.24</v>
      </c>
      <c r="S14" s="96">
        <f t="shared" si="1"/>
        <v>1631450.08764</v>
      </c>
      <c r="T14" s="149">
        <f t="shared" si="1"/>
        <v>36964224.207540005</v>
      </c>
      <c r="U14" s="149">
        <f t="shared" si="1"/>
        <v>39519358.096846141</v>
      </c>
      <c r="V14" s="96">
        <f t="shared" si="1"/>
        <v>2314500</v>
      </c>
      <c r="W14" s="96">
        <f t="shared" si="1"/>
        <v>2200000</v>
      </c>
      <c r="X14" s="96">
        <f t="shared" si="1"/>
        <v>2316600</v>
      </c>
      <c r="Y14" s="96">
        <f t="shared" si="1"/>
        <v>2434746.5999999996</v>
      </c>
      <c r="Z14" s="96">
        <f t="shared" si="1"/>
        <v>2100000</v>
      </c>
      <c r="AA14" s="96">
        <f t="shared" si="1"/>
        <v>114500</v>
      </c>
      <c r="AB14" s="96">
        <f t="shared" si="1"/>
        <v>0</v>
      </c>
      <c r="AC14" s="96">
        <f t="shared" si="1"/>
        <v>0</v>
      </c>
      <c r="AD14" s="96">
        <f t="shared" si="1"/>
        <v>0</v>
      </c>
      <c r="AE14" s="96">
        <f t="shared" si="1"/>
        <v>0</v>
      </c>
      <c r="AF14" s="96">
        <f t="shared" si="1"/>
        <v>0</v>
      </c>
      <c r="AG14" s="96">
        <f t="shared" si="1"/>
        <v>2314500</v>
      </c>
      <c r="AH14" s="96">
        <f t="shared" si="1"/>
        <v>2437168.5</v>
      </c>
      <c r="AI14" s="96">
        <f t="shared" si="1"/>
        <v>2561464.0935</v>
      </c>
      <c r="AJ14" s="96">
        <f t="shared" si="1"/>
        <v>0</v>
      </c>
      <c r="AK14" s="96">
        <f t="shared" si="1"/>
        <v>0</v>
      </c>
      <c r="AL14" s="96">
        <f t="shared" si="1"/>
        <v>0</v>
      </c>
      <c r="AM14" s="149">
        <f t="shared" si="1"/>
        <v>2437168.5</v>
      </c>
      <c r="AN14" s="149">
        <f t="shared" si="1"/>
        <v>2561464.0935</v>
      </c>
      <c r="AO14" s="96">
        <f t="shared" si="1"/>
        <v>2200000</v>
      </c>
      <c r="AP14" s="96">
        <f t="shared" si="1"/>
        <v>36783994</v>
      </c>
    </row>
    <row r="15" spans="1:43" s="18" customFormat="1" ht="15.75" hidden="1" x14ac:dyDescent="0.2">
      <c r="A15" s="36"/>
      <c r="B15" s="93"/>
      <c r="C15" s="94"/>
      <c r="D15" s="94"/>
      <c r="E15" s="94"/>
      <c r="F15" s="97" t="s">
        <v>238</v>
      </c>
      <c r="G15" s="98">
        <f>H15+T15</f>
        <v>0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149"/>
      <c r="U15" s="149"/>
      <c r="V15" s="99">
        <f>AA15+W15</f>
        <v>0</v>
      </c>
      <c r="W15" s="99"/>
      <c r="X15" s="170"/>
      <c r="Y15" s="170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160"/>
      <c r="AN15" s="160"/>
      <c r="AO15" s="99"/>
      <c r="AP15" s="100">
        <f t="shared" ref="AP15:AP80" si="2">G15+V15</f>
        <v>0</v>
      </c>
    </row>
    <row r="16" spans="1:43" s="18" customFormat="1" ht="15.75" hidden="1" x14ac:dyDescent="0.2">
      <c r="A16" s="36"/>
      <c r="B16" s="93"/>
      <c r="C16" s="94"/>
      <c r="D16" s="94"/>
      <c r="E16" s="94"/>
      <c r="F16" s="101" t="s">
        <v>239</v>
      </c>
      <c r="G16" s="96">
        <f>H16</f>
        <v>3467500</v>
      </c>
      <c r="H16" s="98">
        <f t="shared" ref="H16:M16" si="3">H61</f>
        <v>3467500</v>
      </c>
      <c r="I16" s="98">
        <f t="shared" si="3"/>
        <v>0</v>
      </c>
      <c r="J16" s="98">
        <f t="shared" si="3"/>
        <v>0</v>
      </c>
      <c r="K16" s="98">
        <f t="shared" si="3"/>
        <v>0</v>
      </c>
      <c r="L16" s="98">
        <f t="shared" si="3"/>
        <v>0</v>
      </c>
      <c r="M16" s="98">
        <f t="shared" si="3"/>
        <v>0</v>
      </c>
      <c r="N16" s="98">
        <f>H16-K16-Q16</f>
        <v>3467500</v>
      </c>
      <c r="O16" s="98">
        <f>N16*1.053</f>
        <v>3651277.5</v>
      </c>
      <c r="P16" s="98">
        <f>O16*1.051</f>
        <v>3837492.6524999999</v>
      </c>
      <c r="Q16" s="98">
        <f>Q61</f>
        <v>0</v>
      </c>
      <c r="R16" s="98">
        <f>Q16*1.08</f>
        <v>0</v>
      </c>
      <c r="S16" s="98">
        <f>R16*1.061</f>
        <v>0</v>
      </c>
      <c r="T16" s="150">
        <f>L16+O16+R16</f>
        <v>3651277.5</v>
      </c>
      <c r="U16" s="150">
        <f>M16+P16+S16</f>
        <v>3837492.6524999999</v>
      </c>
      <c r="V16" s="98">
        <f>V61</f>
        <v>0</v>
      </c>
      <c r="W16" s="98">
        <f>W61</f>
        <v>0</v>
      </c>
      <c r="X16" s="171">
        <f>W16*1.053</f>
        <v>0</v>
      </c>
      <c r="Y16" s="171">
        <f>X16*1.051</f>
        <v>0</v>
      </c>
      <c r="Z16" s="98">
        <f>Z61</f>
        <v>0</v>
      </c>
      <c r="AA16" s="98">
        <f>AA61</f>
        <v>0</v>
      </c>
      <c r="AB16" s="98">
        <f>AB61</f>
        <v>0</v>
      </c>
      <c r="AC16" s="98">
        <f>AB16*22%</f>
        <v>0</v>
      </c>
      <c r="AD16" s="98">
        <f>AB16+AC16</f>
        <v>0</v>
      </c>
      <c r="AE16" s="98">
        <f>AD16*1.08</f>
        <v>0</v>
      </c>
      <c r="AF16" s="98">
        <f>AE16*1.077</f>
        <v>0</v>
      </c>
      <c r="AG16" s="98">
        <f>V16-AD16-AJ16</f>
        <v>0</v>
      </c>
      <c r="AH16" s="98">
        <f>AG16*1.053</f>
        <v>0</v>
      </c>
      <c r="AI16" s="98">
        <f>AH16*1.051</f>
        <v>0</v>
      </c>
      <c r="AJ16" s="98">
        <f>AJ61</f>
        <v>0</v>
      </c>
      <c r="AK16" s="98">
        <f>AJ16*1.08</f>
        <v>0</v>
      </c>
      <c r="AL16" s="98">
        <f>AK16*1.061</f>
        <v>0</v>
      </c>
      <c r="AM16" s="150">
        <f>AE16+AH16+AK16</f>
        <v>0</v>
      </c>
      <c r="AN16" s="150">
        <f>AF16+AI16+AL16</f>
        <v>0</v>
      </c>
      <c r="AO16" s="98">
        <f>AO61</f>
        <v>0</v>
      </c>
      <c r="AP16" s="102">
        <f t="shared" si="2"/>
        <v>3467500</v>
      </c>
    </row>
    <row r="17" spans="1:42" s="18" customFormat="1" ht="15.75" hidden="1" x14ac:dyDescent="0.2">
      <c r="A17" s="36"/>
      <c r="B17" s="93"/>
      <c r="C17" s="94"/>
      <c r="D17" s="94"/>
      <c r="E17" s="94"/>
      <c r="F17" s="101" t="s">
        <v>240</v>
      </c>
      <c r="G17" s="96">
        <f t="shared" ref="G17:G80" si="4">H17</f>
        <v>114174</v>
      </c>
      <c r="H17" s="103">
        <f>H19+H41</f>
        <v>114174</v>
      </c>
      <c r="I17" s="103">
        <f>I19+I41</f>
        <v>72218</v>
      </c>
      <c r="J17" s="103">
        <f>I17*22%</f>
        <v>15887.960000000001</v>
      </c>
      <c r="K17" s="103">
        <f>I17+J17</f>
        <v>88105.96</v>
      </c>
      <c r="L17" s="103">
        <f>K17*1.08</f>
        <v>95154.43680000001</v>
      </c>
      <c r="M17" s="103">
        <f>L17*1.077</f>
        <v>102481.32843360001</v>
      </c>
      <c r="N17" s="98">
        <f t="shared" ref="N17:N80" si="5">H17-K17-Q17</f>
        <v>20531.039999999994</v>
      </c>
      <c r="O17" s="98">
        <f t="shared" ref="O17:O80" si="6">N17*1.053</f>
        <v>21619.185119999991</v>
      </c>
      <c r="P17" s="98">
        <f t="shared" ref="P17:P80" si="7">O17*1.051</f>
        <v>22721.763561119988</v>
      </c>
      <c r="Q17" s="103">
        <f>Q19+Q41</f>
        <v>5537</v>
      </c>
      <c r="R17" s="98">
        <f t="shared" ref="R17:R80" si="8">Q17*1.08</f>
        <v>5979.96</v>
      </c>
      <c r="S17" s="98">
        <f t="shared" ref="S17:S80" si="9">R17*1.061</f>
        <v>6344.7375599999996</v>
      </c>
      <c r="T17" s="150">
        <f t="shared" ref="T17:T80" si="10">L17+O17+R17</f>
        <v>122753.58192000001</v>
      </c>
      <c r="U17" s="150">
        <f t="shared" ref="U17:U80" si="11">M17+P17+S17</f>
        <v>131547.82955472</v>
      </c>
      <c r="V17" s="103">
        <f>V19+V41</f>
        <v>0</v>
      </c>
      <c r="W17" s="103">
        <f>W19+W41</f>
        <v>0</v>
      </c>
      <c r="X17" s="171">
        <f t="shared" ref="X17:X80" si="12">W17*1.053</f>
        <v>0</v>
      </c>
      <c r="Y17" s="171">
        <f t="shared" ref="Y17:Y80" si="13">X17*1.051</f>
        <v>0</v>
      </c>
      <c r="Z17" s="103">
        <f>Z19+Z41</f>
        <v>0</v>
      </c>
      <c r="AA17" s="103">
        <f>AA19+AA41</f>
        <v>0</v>
      </c>
      <c r="AB17" s="103">
        <f>AB19+AB41</f>
        <v>0</v>
      </c>
      <c r="AC17" s="98">
        <f t="shared" ref="AC17:AC80" si="14">AB17*22%</f>
        <v>0</v>
      </c>
      <c r="AD17" s="98">
        <f t="shared" ref="AD17:AD80" si="15">AB17+AC17</f>
        <v>0</v>
      </c>
      <c r="AE17" s="98">
        <f t="shared" ref="AE17:AE80" si="16">AD17*1.08</f>
        <v>0</v>
      </c>
      <c r="AF17" s="98">
        <f t="shared" ref="AF17:AF80" si="17">AE17*1.077</f>
        <v>0</v>
      </c>
      <c r="AG17" s="98">
        <f t="shared" ref="AG17:AG80" si="18">V17-AD17-AJ17</f>
        <v>0</v>
      </c>
      <c r="AH17" s="98">
        <f t="shared" ref="AH17:AH80" si="19">AG17*1.053</f>
        <v>0</v>
      </c>
      <c r="AI17" s="98">
        <f t="shared" ref="AI17:AI80" si="20">AH17*1.051</f>
        <v>0</v>
      </c>
      <c r="AJ17" s="103">
        <f>AJ19+AJ41</f>
        <v>0</v>
      </c>
      <c r="AK17" s="98">
        <f t="shared" ref="AK17:AK80" si="21">AJ17*1.08</f>
        <v>0</v>
      </c>
      <c r="AL17" s="98">
        <f t="shared" ref="AL17:AL80" si="22">AK17*1.061</f>
        <v>0</v>
      </c>
      <c r="AM17" s="150">
        <f t="shared" ref="AM17:AM80" si="23">AE17+AH17+AK17</f>
        <v>0</v>
      </c>
      <c r="AN17" s="150">
        <f t="shared" ref="AN17:AN80" si="24">AF17+AI17+AL17</f>
        <v>0</v>
      </c>
      <c r="AO17" s="103">
        <f>AO19+AO41</f>
        <v>0</v>
      </c>
      <c r="AP17" s="102">
        <f t="shared" si="2"/>
        <v>114174</v>
      </c>
    </row>
    <row r="18" spans="1:42" s="185" customFormat="1" ht="78.75" hidden="1" x14ac:dyDescent="0.2">
      <c r="A18" s="153"/>
      <c r="B18" s="194" t="s">
        <v>43</v>
      </c>
      <c r="C18" s="193"/>
      <c r="D18" s="193" t="s">
        <v>241</v>
      </c>
      <c r="E18" s="193" t="s">
        <v>45</v>
      </c>
      <c r="F18" s="195" t="s">
        <v>242</v>
      </c>
      <c r="G18" s="149">
        <f t="shared" si="4"/>
        <v>16114433</v>
      </c>
      <c r="H18" s="150">
        <f>15841515+367171-94253</f>
        <v>16114433</v>
      </c>
      <c r="I18" s="150">
        <f>11161150+164000+694890+300960-53447</f>
        <v>12267553</v>
      </c>
      <c r="J18" s="183">
        <f t="shared" ref="J18:J81" si="25">I18*22%</f>
        <v>2698861.66</v>
      </c>
      <c r="K18" s="183">
        <f t="shared" ref="K18:K81" si="26">I18+J18</f>
        <v>14966414.66</v>
      </c>
      <c r="L18" s="183">
        <f t="shared" ref="L18:L81" si="27">K18*1.08</f>
        <v>16163727.832800001</v>
      </c>
      <c r="M18" s="183">
        <f t="shared" ref="M18:M81" si="28">L18*1.077</f>
        <v>17408334.875925601</v>
      </c>
      <c r="N18" s="150">
        <f t="shared" si="5"/>
        <v>818455.33999999985</v>
      </c>
      <c r="O18" s="150">
        <f t="shared" si="6"/>
        <v>861833.4730199998</v>
      </c>
      <c r="P18" s="150">
        <f t="shared" si="7"/>
        <v>905786.9801440197</v>
      </c>
      <c r="Q18" s="150">
        <f>8000+180000+150000-8437</f>
        <v>329563</v>
      </c>
      <c r="R18" s="150">
        <f t="shared" si="8"/>
        <v>355928.04000000004</v>
      </c>
      <c r="S18" s="150">
        <f t="shared" si="9"/>
        <v>377639.65044</v>
      </c>
      <c r="T18" s="150">
        <f t="shared" si="10"/>
        <v>17381489.345819999</v>
      </c>
      <c r="U18" s="150">
        <f t="shared" si="11"/>
        <v>18691761.506509621</v>
      </c>
      <c r="V18" s="160">
        <f>AA18+W18</f>
        <v>0</v>
      </c>
      <c r="W18" s="122">
        <v>0</v>
      </c>
      <c r="X18" s="150">
        <f t="shared" si="12"/>
        <v>0</v>
      </c>
      <c r="Y18" s="150">
        <f t="shared" si="13"/>
        <v>0</v>
      </c>
      <c r="Z18" s="122"/>
      <c r="AA18" s="122"/>
      <c r="AB18" s="122"/>
      <c r="AC18" s="150">
        <f t="shared" si="14"/>
        <v>0</v>
      </c>
      <c r="AD18" s="150">
        <f t="shared" si="15"/>
        <v>0</v>
      </c>
      <c r="AE18" s="150">
        <f t="shared" si="16"/>
        <v>0</v>
      </c>
      <c r="AF18" s="150">
        <f t="shared" si="17"/>
        <v>0</v>
      </c>
      <c r="AG18" s="150">
        <f t="shared" si="18"/>
        <v>0</v>
      </c>
      <c r="AH18" s="150">
        <f t="shared" si="19"/>
        <v>0</v>
      </c>
      <c r="AI18" s="150">
        <f t="shared" si="20"/>
        <v>0</v>
      </c>
      <c r="AJ18" s="122"/>
      <c r="AK18" s="150">
        <f>AJ18*1.08</f>
        <v>0</v>
      </c>
      <c r="AL18" s="150">
        <f t="shared" si="22"/>
        <v>0</v>
      </c>
      <c r="AM18" s="150">
        <f t="shared" si="23"/>
        <v>0</v>
      </c>
      <c r="AN18" s="150">
        <f t="shared" si="24"/>
        <v>0</v>
      </c>
      <c r="AO18" s="122">
        <v>0</v>
      </c>
      <c r="AP18" s="184">
        <f t="shared" si="2"/>
        <v>16114433</v>
      </c>
    </row>
    <row r="19" spans="1:42" s="18" customFormat="1" ht="31.5" hidden="1" x14ac:dyDescent="0.2">
      <c r="A19" s="36"/>
      <c r="B19" s="93"/>
      <c r="C19" s="104"/>
      <c r="D19" s="104"/>
      <c r="E19" s="104"/>
      <c r="F19" s="97" t="s">
        <v>92</v>
      </c>
      <c r="G19" s="96">
        <f t="shared" si="4"/>
        <v>61874</v>
      </c>
      <c r="H19" s="103">
        <f>156127-94253</f>
        <v>61874</v>
      </c>
      <c r="I19" s="98">
        <v>35085</v>
      </c>
      <c r="J19" s="103">
        <f t="shared" si="25"/>
        <v>7718.7</v>
      </c>
      <c r="K19" s="103">
        <f t="shared" si="26"/>
        <v>42803.7</v>
      </c>
      <c r="L19" s="103">
        <f t="shared" si="27"/>
        <v>46227.995999999999</v>
      </c>
      <c r="M19" s="103">
        <f t="shared" si="28"/>
        <v>49787.551691999994</v>
      </c>
      <c r="N19" s="98">
        <f t="shared" si="5"/>
        <v>13533.300000000003</v>
      </c>
      <c r="O19" s="98">
        <f t="shared" si="6"/>
        <v>14250.564900000003</v>
      </c>
      <c r="P19" s="98">
        <f t="shared" si="7"/>
        <v>14977.343709900002</v>
      </c>
      <c r="Q19" s="98">
        <v>5537</v>
      </c>
      <c r="R19" s="98">
        <f t="shared" si="8"/>
        <v>5979.96</v>
      </c>
      <c r="S19" s="98">
        <f t="shared" si="9"/>
        <v>6344.7375599999996</v>
      </c>
      <c r="T19" s="150">
        <f t="shared" si="10"/>
        <v>66458.520900000003</v>
      </c>
      <c r="U19" s="150">
        <f t="shared" si="11"/>
        <v>71109.632961899988</v>
      </c>
      <c r="V19" s="99">
        <f>Q19-5537</f>
        <v>0</v>
      </c>
      <c r="W19" s="105"/>
      <c r="X19" s="171">
        <f t="shared" si="12"/>
        <v>0</v>
      </c>
      <c r="Y19" s="171">
        <f t="shared" si="13"/>
        <v>0</v>
      </c>
      <c r="Z19" s="105"/>
      <c r="AA19" s="105"/>
      <c r="AB19" s="105"/>
      <c r="AC19" s="98">
        <f t="shared" si="14"/>
        <v>0</v>
      </c>
      <c r="AD19" s="98">
        <f t="shared" si="15"/>
        <v>0</v>
      </c>
      <c r="AE19" s="98">
        <f t="shared" si="16"/>
        <v>0</v>
      </c>
      <c r="AF19" s="98">
        <f t="shared" si="17"/>
        <v>0</v>
      </c>
      <c r="AG19" s="98">
        <f t="shared" si="18"/>
        <v>0</v>
      </c>
      <c r="AH19" s="98">
        <f t="shared" si="19"/>
        <v>0</v>
      </c>
      <c r="AI19" s="98">
        <f t="shared" si="20"/>
        <v>0</v>
      </c>
      <c r="AJ19" s="105"/>
      <c r="AK19" s="98">
        <f t="shared" si="21"/>
        <v>0</v>
      </c>
      <c r="AL19" s="98">
        <f t="shared" si="22"/>
        <v>0</v>
      </c>
      <c r="AM19" s="150">
        <f t="shared" si="23"/>
        <v>0</v>
      </c>
      <c r="AN19" s="150">
        <f t="shared" si="24"/>
        <v>0</v>
      </c>
      <c r="AO19" s="105"/>
      <c r="AP19" s="102">
        <f t="shared" si="2"/>
        <v>61874</v>
      </c>
    </row>
    <row r="20" spans="1:42" s="185" customFormat="1" ht="15.75" hidden="1" x14ac:dyDescent="0.2">
      <c r="A20" s="153"/>
      <c r="B20" s="194" t="s">
        <v>49</v>
      </c>
      <c r="C20" s="193"/>
      <c r="D20" s="193" t="s">
        <v>154</v>
      </c>
      <c r="E20" s="193" t="s">
        <v>51</v>
      </c>
      <c r="F20" s="195" t="s">
        <v>243</v>
      </c>
      <c r="G20" s="149">
        <f t="shared" si="4"/>
        <v>249421</v>
      </c>
      <c r="H20" s="150">
        <v>249421</v>
      </c>
      <c r="I20" s="150"/>
      <c r="J20" s="183">
        <f t="shared" si="25"/>
        <v>0</v>
      </c>
      <c r="K20" s="183">
        <f t="shared" si="26"/>
        <v>0</v>
      </c>
      <c r="L20" s="183">
        <f t="shared" si="27"/>
        <v>0</v>
      </c>
      <c r="M20" s="183">
        <f t="shared" si="28"/>
        <v>0</v>
      </c>
      <c r="N20" s="150">
        <f t="shared" si="5"/>
        <v>249421</v>
      </c>
      <c r="O20" s="150">
        <f t="shared" si="6"/>
        <v>262640.31299999997</v>
      </c>
      <c r="P20" s="150">
        <f t="shared" si="7"/>
        <v>276034.96896299993</v>
      </c>
      <c r="Q20" s="150"/>
      <c r="R20" s="150">
        <f t="shared" si="8"/>
        <v>0</v>
      </c>
      <c r="S20" s="150">
        <f t="shared" si="9"/>
        <v>0</v>
      </c>
      <c r="T20" s="150">
        <f t="shared" si="10"/>
        <v>262640.31299999997</v>
      </c>
      <c r="U20" s="150">
        <f t="shared" si="11"/>
        <v>276034.96896299993</v>
      </c>
      <c r="V20" s="160">
        <f t="shared" ref="V20:V84" si="29">AA20+W20</f>
        <v>0</v>
      </c>
      <c r="W20" s="122"/>
      <c r="X20" s="150">
        <f t="shared" si="12"/>
        <v>0</v>
      </c>
      <c r="Y20" s="150">
        <f t="shared" si="13"/>
        <v>0</v>
      </c>
      <c r="Z20" s="122"/>
      <c r="AA20" s="122"/>
      <c r="AB20" s="122"/>
      <c r="AC20" s="150">
        <f t="shared" si="14"/>
        <v>0</v>
      </c>
      <c r="AD20" s="150">
        <f t="shared" si="15"/>
        <v>0</v>
      </c>
      <c r="AE20" s="150">
        <f t="shared" si="16"/>
        <v>0</v>
      </c>
      <c r="AF20" s="150">
        <f t="shared" si="17"/>
        <v>0</v>
      </c>
      <c r="AG20" s="150">
        <f t="shared" si="18"/>
        <v>0</v>
      </c>
      <c r="AH20" s="150">
        <f t="shared" si="19"/>
        <v>0</v>
      </c>
      <c r="AI20" s="150">
        <f t="shared" si="20"/>
        <v>0</v>
      </c>
      <c r="AJ20" s="122"/>
      <c r="AK20" s="150">
        <f t="shared" si="21"/>
        <v>0</v>
      </c>
      <c r="AL20" s="150">
        <f t="shared" si="22"/>
        <v>0</v>
      </c>
      <c r="AM20" s="150">
        <f t="shared" si="23"/>
        <v>0</v>
      </c>
      <c r="AN20" s="150">
        <f t="shared" si="24"/>
        <v>0</v>
      </c>
      <c r="AO20" s="122"/>
      <c r="AP20" s="184">
        <f t="shared" si="2"/>
        <v>249421</v>
      </c>
    </row>
    <row r="21" spans="1:42" s="18" customFormat="1" ht="15" hidden="1" customHeight="1" x14ac:dyDescent="0.2">
      <c r="A21" s="36"/>
      <c r="B21" s="93"/>
      <c r="C21" s="104"/>
      <c r="D21" s="104"/>
      <c r="E21" s="104"/>
      <c r="F21" s="97"/>
      <c r="G21" s="96">
        <f t="shared" si="4"/>
        <v>0</v>
      </c>
      <c r="H21" s="103"/>
      <c r="I21" s="98"/>
      <c r="J21" s="103">
        <f t="shared" si="25"/>
        <v>0</v>
      </c>
      <c r="K21" s="103">
        <f t="shared" si="26"/>
        <v>0</v>
      </c>
      <c r="L21" s="103">
        <f t="shared" si="27"/>
        <v>0</v>
      </c>
      <c r="M21" s="103">
        <f t="shared" si="28"/>
        <v>0</v>
      </c>
      <c r="N21" s="98">
        <f t="shared" si="5"/>
        <v>0</v>
      </c>
      <c r="O21" s="98">
        <f t="shared" si="6"/>
        <v>0</v>
      </c>
      <c r="P21" s="98">
        <f t="shared" si="7"/>
        <v>0</v>
      </c>
      <c r="Q21" s="98"/>
      <c r="R21" s="98">
        <f t="shared" si="8"/>
        <v>0</v>
      </c>
      <c r="S21" s="98">
        <f t="shared" si="9"/>
        <v>0</v>
      </c>
      <c r="T21" s="150">
        <f t="shared" si="10"/>
        <v>0</v>
      </c>
      <c r="U21" s="150">
        <f t="shared" si="11"/>
        <v>0</v>
      </c>
      <c r="V21" s="99">
        <f t="shared" si="29"/>
        <v>0</v>
      </c>
      <c r="W21" s="105"/>
      <c r="X21" s="171">
        <f t="shared" si="12"/>
        <v>0</v>
      </c>
      <c r="Y21" s="171">
        <f t="shared" si="13"/>
        <v>0</v>
      </c>
      <c r="Z21" s="105"/>
      <c r="AA21" s="105"/>
      <c r="AB21" s="105"/>
      <c r="AC21" s="98">
        <f t="shared" si="14"/>
        <v>0</v>
      </c>
      <c r="AD21" s="98">
        <f t="shared" si="15"/>
        <v>0</v>
      </c>
      <c r="AE21" s="98">
        <f t="shared" si="16"/>
        <v>0</v>
      </c>
      <c r="AF21" s="98">
        <f t="shared" si="17"/>
        <v>0</v>
      </c>
      <c r="AG21" s="98">
        <f t="shared" si="18"/>
        <v>0</v>
      </c>
      <c r="AH21" s="98">
        <f t="shared" si="19"/>
        <v>0</v>
      </c>
      <c r="AI21" s="98">
        <f t="shared" si="20"/>
        <v>0</v>
      </c>
      <c r="AJ21" s="105"/>
      <c r="AK21" s="98">
        <f t="shared" si="21"/>
        <v>0</v>
      </c>
      <c r="AL21" s="98">
        <f t="shared" si="22"/>
        <v>0</v>
      </c>
      <c r="AM21" s="150">
        <f t="shared" si="23"/>
        <v>0</v>
      </c>
      <c r="AN21" s="150">
        <f t="shared" si="24"/>
        <v>0</v>
      </c>
      <c r="AO21" s="105"/>
      <c r="AP21" s="102">
        <f t="shared" si="2"/>
        <v>0</v>
      </c>
    </row>
    <row r="22" spans="1:42" s="18" customFormat="1" ht="15" hidden="1" customHeight="1" x14ac:dyDescent="0.2">
      <c r="A22" s="36"/>
      <c r="B22" s="93" t="s">
        <v>53</v>
      </c>
      <c r="C22" s="104"/>
      <c r="D22" s="104" t="s">
        <v>54</v>
      </c>
      <c r="E22" s="104" t="s">
        <v>54</v>
      </c>
      <c r="F22" s="106" t="s">
        <v>55</v>
      </c>
      <c r="G22" s="96">
        <f t="shared" si="4"/>
        <v>0</v>
      </c>
      <c r="H22" s="103"/>
      <c r="I22" s="98"/>
      <c r="J22" s="103">
        <f t="shared" si="25"/>
        <v>0</v>
      </c>
      <c r="K22" s="103">
        <f t="shared" si="26"/>
        <v>0</v>
      </c>
      <c r="L22" s="103">
        <f t="shared" si="27"/>
        <v>0</v>
      </c>
      <c r="M22" s="103">
        <f t="shared" si="28"/>
        <v>0</v>
      </c>
      <c r="N22" s="98">
        <f t="shared" si="5"/>
        <v>0</v>
      </c>
      <c r="O22" s="98">
        <f t="shared" si="6"/>
        <v>0</v>
      </c>
      <c r="P22" s="98">
        <f t="shared" si="7"/>
        <v>0</v>
      </c>
      <c r="Q22" s="98"/>
      <c r="R22" s="98">
        <f t="shared" si="8"/>
        <v>0</v>
      </c>
      <c r="S22" s="98">
        <f t="shared" si="9"/>
        <v>0</v>
      </c>
      <c r="T22" s="150">
        <f t="shared" si="10"/>
        <v>0</v>
      </c>
      <c r="U22" s="150">
        <f t="shared" si="11"/>
        <v>0</v>
      </c>
      <c r="V22" s="99">
        <f t="shared" si="29"/>
        <v>0</v>
      </c>
      <c r="W22" s="105"/>
      <c r="X22" s="171">
        <f t="shared" si="12"/>
        <v>0</v>
      </c>
      <c r="Y22" s="171">
        <f t="shared" si="13"/>
        <v>0</v>
      </c>
      <c r="Z22" s="105"/>
      <c r="AA22" s="105"/>
      <c r="AB22" s="105"/>
      <c r="AC22" s="98">
        <f t="shared" si="14"/>
        <v>0</v>
      </c>
      <c r="AD22" s="98">
        <f t="shared" si="15"/>
        <v>0</v>
      </c>
      <c r="AE22" s="98">
        <f t="shared" si="16"/>
        <v>0</v>
      </c>
      <c r="AF22" s="98">
        <f t="shared" si="17"/>
        <v>0</v>
      </c>
      <c r="AG22" s="98">
        <f t="shared" si="18"/>
        <v>0</v>
      </c>
      <c r="AH22" s="98">
        <f t="shared" si="19"/>
        <v>0</v>
      </c>
      <c r="AI22" s="98">
        <f t="shared" si="20"/>
        <v>0</v>
      </c>
      <c r="AJ22" s="105"/>
      <c r="AK22" s="98">
        <f t="shared" si="21"/>
        <v>0</v>
      </c>
      <c r="AL22" s="98">
        <f t="shared" si="22"/>
        <v>0</v>
      </c>
      <c r="AM22" s="150">
        <f t="shared" si="23"/>
        <v>0</v>
      </c>
      <c r="AN22" s="150">
        <f t="shared" si="24"/>
        <v>0</v>
      </c>
      <c r="AO22" s="105"/>
      <c r="AP22" s="102">
        <f t="shared" si="2"/>
        <v>0</v>
      </c>
    </row>
    <row r="23" spans="1:42" s="204" customFormat="1" ht="63" hidden="1" x14ac:dyDescent="0.2">
      <c r="A23" s="196"/>
      <c r="B23" s="197" t="s">
        <v>56</v>
      </c>
      <c r="C23" s="198"/>
      <c r="D23" s="199" t="s">
        <v>244</v>
      </c>
      <c r="E23" s="199" t="s">
        <v>58</v>
      </c>
      <c r="F23" s="200" t="s">
        <v>245</v>
      </c>
      <c r="G23" s="169">
        <f t="shared" si="4"/>
        <v>4542250</v>
      </c>
      <c r="H23" s="201">
        <v>4542250</v>
      </c>
      <c r="I23" s="201">
        <v>3599730</v>
      </c>
      <c r="J23" s="201">
        <f t="shared" si="25"/>
        <v>791940.6</v>
      </c>
      <c r="K23" s="201">
        <f t="shared" si="26"/>
        <v>4391670.5999999996</v>
      </c>
      <c r="L23" s="201">
        <f t="shared" si="27"/>
        <v>4743004.2479999997</v>
      </c>
      <c r="M23" s="201">
        <f t="shared" si="28"/>
        <v>5108215.5750959991</v>
      </c>
      <c r="N23" s="171">
        <f t="shared" si="5"/>
        <v>76399.400000000373</v>
      </c>
      <c r="O23" s="171">
        <f t="shared" si="6"/>
        <v>80448.568200000387</v>
      </c>
      <c r="P23" s="171">
        <f t="shared" si="7"/>
        <v>84551.445178200403</v>
      </c>
      <c r="Q23" s="201">
        <f>18000+50000+6180</f>
        <v>74180</v>
      </c>
      <c r="R23" s="171">
        <f t="shared" si="8"/>
        <v>80114.400000000009</v>
      </c>
      <c r="S23" s="171">
        <f t="shared" si="9"/>
        <v>85001.378400000001</v>
      </c>
      <c r="T23" s="171">
        <f t="shared" si="10"/>
        <v>4903567.2162000006</v>
      </c>
      <c r="U23" s="171">
        <f t="shared" si="11"/>
        <v>5277768.3986741994</v>
      </c>
      <c r="V23" s="202">
        <f t="shared" si="29"/>
        <v>60000</v>
      </c>
      <c r="W23" s="202">
        <f>W24</f>
        <v>0</v>
      </c>
      <c r="X23" s="171">
        <f t="shared" si="12"/>
        <v>0</v>
      </c>
      <c r="Y23" s="171">
        <f t="shared" si="13"/>
        <v>0</v>
      </c>
      <c r="Z23" s="202"/>
      <c r="AA23" s="201">
        <v>60000</v>
      </c>
      <c r="AB23" s="202"/>
      <c r="AC23" s="171">
        <f t="shared" si="14"/>
        <v>0</v>
      </c>
      <c r="AD23" s="171">
        <f t="shared" si="15"/>
        <v>0</v>
      </c>
      <c r="AE23" s="171">
        <f t="shared" si="16"/>
        <v>0</v>
      </c>
      <c r="AF23" s="171">
        <f t="shared" si="17"/>
        <v>0</v>
      </c>
      <c r="AG23" s="171">
        <f t="shared" si="18"/>
        <v>60000</v>
      </c>
      <c r="AH23" s="171">
        <f t="shared" si="19"/>
        <v>63179.999999999993</v>
      </c>
      <c r="AI23" s="171">
        <f t="shared" si="20"/>
        <v>66402.179999999993</v>
      </c>
      <c r="AJ23" s="202"/>
      <c r="AK23" s="171">
        <f t="shared" si="21"/>
        <v>0</v>
      </c>
      <c r="AL23" s="171">
        <f t="shared" si="22"/>
        <v>0</v>
      </c>
      <c r="AM23" s="171">
        <f t="shared" si="23"/>
        <v>63179.999999999993</v>
      </c>
      <c r="AN23" s="171">
        <f t="shared" si="24"/>
        <v>66402.179999999993</v>
      </c>
      <c r="AO23" s="202"/>
      <c r="AP23" s="203">
        <f t="shared" si="2"/>
        <v>4602250</v>
      </c>
    </row>
    <row r="24" spans="1:42" s="204" customFormat="1" ht="31.5" hidden="1" x14ac:dyDescent="0.2">
      <c r="A24" s="196"/>
      <c r="B24" s="197" t="s">
        <v>60</v>
      </c>
      <c r="C24" s="199"/>
      <c r="D24" s="199" t="s">
        <v>61</v>
      </c>
      <c r="E24" s="199" t="s">
        <v>62</v>
      </c>
      <c r="F24" s="200" t="s">
        <v>63</v>
      </c>
      <c r="G24" s="169">
        <f t="shared" si="4"/>
        <v>22840</v>
      </c>
      <c r="H24" s="201">
        <f>12840+10000</f>
        <v>22840</v>
      </c>
      <c r="I24" s="171"/>
      <c r="J24" s="201">
        <f t="shared" si="25"/>
        <v>0</v>
      </c>
      <c r="K24" s="201">
        <f t="shared" si="26"/>
        <v>0</v>
      </c>
      <c r="L24" s="201">
        <f t="shared" si="27"/>
        <v>0</v>
      </c>
      <c r="M24" s="201">
        <f t="shared" si="28"/>
        <v>0</v>
      </c>
      <c r="N24" s="171">
        <f t="shared" si="5"/>
        <v>22840</v>
      </c>
      <c r="O24" s="171">
        <f t="shared" si="6"/>
        <v>24050.519999999997</v>
      </c>
      <c r="P24" s="171">
        <f t="shared" si="7"/>
        <v>25277.096519999996</v>
      </c>
      <c r="Q24" s="171"/>
      <c r="R24" s="171">
        <f t="shared" si="8"/>
        <v>0</v>
      </c>
      <c r="S24" s="171">
        <f t="shared" si="9"/>
        <v>0</v>
      </c>
      <c r="T24" s="171">
        <f t="shared" si="10"/>
        <v>24050.519999999997</v>
      </c>
      <c r="U24" s="171">
        <f t="shared" si="11"/>
        <v>25277.096519999996</v>
      </c>
      <c r="V24" s="170">
        <f t="shared" si="29"/>
        <v>0</v>
      </c>
      <c r="W24" s="177"/>
      <c r="X24" s="171">
        <f t="shared" si="12"/>
        <v>0</v>
      </c>
      <c r="Y24" s="171">
        <f t="shared" si="13"/>
        <v>0</v>
      </c>
      <c r="Z24" s="177"/>
      <c r="AA24" s="177"/>
      <c r="AB24" s="177"/>
      <c r="AC24" s="171">
        <f t="shared" si="14"/>
        <v>0</v>
      </c>
      <c r="AD24" s="171">
        <f t="shared" si="15"/>
        <v>0</v>
      </c>
      <c r="AE24" s="171">
        <f t="shared" si="16"/>
        <v>0</v>
      </c>
      <c r="AF24" s="171">
        <f t="shared" si="17"/>
        <v>0</v>
      </c>
      <c r="AG24" s="171">
        <f t="shared" si="18"/>
        <v>0</v>
      </c>
      <c r="AH24" s="171">
        <f t="shared" si="19"/>
        <v>0</v>
      </c>
      <c r="AI24" s="171">
        <f t="shared" si="20"/>
        <v>0</v>
      </c>
      <c r="AJ24" s="177"/>
      <c r="AK24" s="171">
        <f t="shared" si="21"/>
        <v>0</v>
      </c>
      <c r="AL24" s="171">
        <f t="shared" si="22"/>
        <v>0</v>
      </c>
      <c r="AM24" s="171">
        <f t="shared" si="23"/>
        <v>0</v>
      </c>
      <c r="AN24" s="171">
        <f t="shared" si="24"/>
        <v>0</v>
      </c>
      <c r="AO24" s="177"/>
      <c r="AP24" s="203">
        <f t="shared" si="2"/>
        <v>22840</v>
      </c>
    </row>
    <row r="25" spans="1:42" s="204" customFormat="1" ht="15.75" hidden="1" x14ac:dyDescent="0.2">
      <c r="A25" s="196"/>
      <c r="B25" s="197"/>
      <c r="C25" s="198"/>
      <c r="D25" s="199"/>
      <c r="E25" s="199"/>
      <c r="F25" s="205"/>
      <c r="G25" s="169">
        <f t="shared" si="4"/>
        <v>0</v>
      </c>
      <c r="H25" s="202"/>
      <c r="I25" s="202"/>
      <c r="J25" s="201">
        <f t="shared" si="25"/>
        <v>0</v>
      </c>
      <c r="K25" s="201">
        <f t="shared" si="26"/>
        <v>0</v>
      </c>
      <c r="L25" s="201">
        <f t="shared" si="27"/>
        <v>0</v>
      </c>
      <c r="M25" s="201">
        <f t="shared" si="28"/>
        <v>0</v>
      </c>
      <c r="N25" s="171">
        <f t="shared" si="5"/>
        <v>0</v>
      </c>
      <c r="O25" s="171">
        <f t="shared" si="6"/>
        <v>0</v>
      </c>
      <c r="P25" s="171">
        <f t="shared" si="7"/>
        <v>0</v>
      </c>
      <c r="Q25" s="202"/>
      <c r="R25" s="171">
        <f t="shared" si="8"/>
        <v>0</v>
      </c>
      <c r="S25" s="171">
        <f t="shared" si="9"/>
        <v>0</v>
      </c>
      <c r="T25" s="171">
        <f t="shared" si="10"/>
        <v>0</v>
      </c>
      <c r="U25" s="171">
        <f t="shared" si="11"/>
        <v>0</v>
      </c>
      <c r="V25" s="170">
        <f t="shared" si="29"/>
        <v>0</v>
      </c>
      <c r="W25" s="170"/>
      <c r="X25" s="171">
        <f t="shared" si="12"/>
        <v>0</v>
      </c>
      <c r="Y25" s="171">
        <f t="shared" si="13"/>
        <v>0</v>
      </c>
      <c r="Z25" s="170"/>
      <c r="AA25" s="170"/>
      <c r="AB25" s="170"/>
      <c r="AC25" s="171">
        <f t="shared" si="14"/>
        <v>0</v>
      </c>
      <c r="AD25" s="171">
        <f t="shared" si="15"/>
        <v>0</v>
      </c>
      <c r="AE25" s="171">
        <f t="shared" si="16"/>
        <v>0</v>
      </c>
      <c r="AF25" s="171">
        <f t="shared" si="17"/>
        <v>0</v>
      </c>
      <c r="AG25" s="171">
        <f t="shared" si="18"/>
        <v>0</v>
      </c>
      <c r="AH25" s="171">
        <f t="shared" si="19"/>
        <v>0</v>
      </c>
      <c r="AI25" s="171">
        <f t="shared" si="20"/>
        <v>0</v>
      </c>
      <c r="AJ25" s="170"/>
      <c r="AK25" s="171">
        <f t="shared" si="21"/>
        <v>0</v>
      </c>
      <c r="AL25" s="171">
        <f t="shared" si="22"/>
        <v>0</v>
      </c>
      <c r="AM25" s="171">
        <f t="shared" si="23"/>
        <v>0</v>
      </c>
      <c r="AN25" s="171">
        <f t="shared" si="24"/>
        <v>0</v>
      </c>
      <c r="AO25" s="170"/>
      <c r="AP25" s="203">
        <f t="shared" si="2"/>
        <v>0</v>
      </c>
    </row>
    <row r="26" spans="1:42" s="204" customFormat="1" ht="31.5" hidden="1" x14ac:dyDescent="0.2">
      <c r="A26" s="196"/>
      <c r="B26" s="197" t="s">
        <v>64</v>
      </c>
      <c r="C26" s="199"/>
      <c r="D26" s="199" t="s">
        <v>65</v>
      </c>
      <c r="E26" s="199" t="s">
        <v>62</v>
      </c>
      <c r="F26" s="200" t="s">
        <v>66</v>
      </c>
      <c r="G26" s="169">
        <f t="shared" si="4"/>
        <v>622412</v>
      </c>
      <c r="H26" s="201">
        <v>622412</v>
      </c>
      <c r="I26" s="171">
        <v>440855</v>
      </c>
      <c r="J26" s="201">
        <f t="shared" si="25"/>
        <v>96988.1</v>
      </c>
      <c r="K26" s="201">
        <f t="shared" si="26"/>
        <v>537843.1</v>
      </c>
      <c r="L26" s="201">
        <f t="shared" si="27"/>
        <v>580870.54800000007</v>
      </c>
      <c r="M26" s="201">
        <f t="shared" si="28"/>
        <v>625597.58019600005</v>
      </c>
      <c r="N26" s="171">
        <f t="shared" si="5"/>
        <v>70358.900000000023</v>
      </c>
      <c r="O26" s="171">
        <f t="shared" si="6"/>
        <v>74087.921700000021</v>
      </c>
      <c r="P26" s="171">
        <f t="shared" si="7"/>
        <v>77866.40570670001</v>
      </c>
      <c r="Q26" s="171">
        <f>325+800+13085</f>
        <v>14210</v>
      </c>
      <c r="R26" s="171">
        <f t="shared" si="8"/>
        <v>15346.800000000001</v>
      </c>
      <c r="S26" s="171">
        <f t="shared" si="9"/>
        <v>16282.9548</v>
      </c>
      <c r="T26" s="171">
        <f t="shared" si="10"/>
        <v>670305.26970000018</v>
      </c>
      <c r="U26" s="171">
        <f t="shared" si="11"/>
        <v>719746.94070270006</v>
      </c>
      <c r="V26" s="170">
        <f t="shared" si="29"/>
        <v>0</v>
      </c>
      <c r="W26" s="177"/>
      <c r="X26" s="171">
        <f t="shared" si="12"/>
        <v>0</v>
      </c>
      <c r="Y26" s="171">
        <f t="shared" si="13"/>
        <v>0</v>
      </c>
      <c r="Z26" s="177"/>
      <c r="AA26" s="177"/>
      <c r="AB26" s="177"/>
      <c r="AC26" s="171">
        <f t="shared" si="14"/>
        <v>0</v>
      </c>
      <c r="AD26" s="171">
        <f t="shared" si="15"/>
        <v>0</v>
      </c>
      <c r="AE26" s="171">
        <f t="shared" si="16"/>
        <v>0</v>
      </c>
      <c r="AF26" s="171">
        <f t="shared" si="17"/>
        <v>0</v>
      </c>
      <c r="AG26" s="171">
        <f t="shared" si="18"/>
        <v>0</v>
      </c>
      <c r="AH26" s="171">
        <f t="shared" si="19"/>
        <v>0</v>
      </c>
      <c r="AI26" s="171">
        <f t="shared" si="20"/>
        <v>0</v>
      </c>
      <c r="AJ26" s="177"/>
      <c r="AK26" s="171">
        <f t="shared" si="21"/>
        <v>0</v>
      </c>
      <c r="AL26" s="171">
        <f t="shared" si="22"/>
        <v>0</v>
      </c>
      <c r="AM26" s="171">
        <f t="shared" si="23"/>
        <v>0</v>
      </c>
      <c r="AN26" s="171">
        <f t="shared" si="24"/>
        <v>0</v>
      </c>
      <c r="AO26" s="177"/>
      <c r="AP26" s="203">
        <f t="shared" si="2"/>
        <v>622412</v>
      </c>
    </row>
    <row r="27" spans="1:42" s="204" customFormat="1" ht="15.75" hidden="1" x14ac:dyDescent="0.2">
      <c r="A27" s="196"/>
      <c r="B27" s="197" t="s">
        <v>67</v>
      </c>
      <c r="C27" s="199"/>
      <c r="D27" s="199" t="s">
        <v>68</v>
      </c>
      <c r="E27" s="199" t="s">
        <v>62</v>
      </c>
      <c r="F27" s="200" t="s">
        <v>69</v>
      </c>
      <c r="G27" s="169">
        <f t="shared" si="4"/>
        <v>20000</v>
      </c>
      <c r="H27" s="201">
        <v>20000</v>
      </c>
      <c r="I27" s="171"/>
      <c r="J27" s="201">
        <f t="shared" si="25"/>
        <v>0</v>
      </c>
      <c r="K27" s="201">
        <f t="shared" si="26"/>
        <v>0</v>
      </c>
      <c r="L27" s="201">
        <f t="shared" si="27"/>
        <v>0</v>
      </c>
      <c r="M27" s="201">
        <f t="shared" si="28"/>
        <v>0</v>
      </c>
      <c r="N27" s="171">
        <f t="shared" si="5"/>
        <v>20000</v>
      </c>
      <c r="O27" s="171">
        <f t="shared" si="6"/>
        <v>21060</v>
      </c>
      <c r="P27" s="171">
        <f t="shared" si="7"/>
        <v>22134.059999999998</v>
      </c>
      <c r="Q27" s="171"/>
      <c r="R27" s="171">
        <f t="shared" si="8"/>
        <v>0</v>
      </c>
      <c r="S27" s="171">
        <f t="shared" si="9"/>
        <v>0</v>
      </c>
      <c r="T27" s="171">
        <f t="shared" si="10"/>
        <v>21060</v>
      </c>
      <c r="U27" s="171">
        <f t="shared" si="11"/>
        <v>22134.059999999998</v>
      </c>
      <c r="V27" s="170"/>
      <c r="W27" s="177"/>
      <c r="X27" s="171">
        <f t="shared" si="12"/>
        <v>0</v>
      </c>
      <c r="Y27" s="171">
        <f t="shared" si="13"/>
        <v>0</v>
      </c>
      <c r="Z27" s="177"/>
      <c r="AA27" s="177"/>
      <c r="AB27" s="177"/>
      <c r="AC27" s="171">
        <f t="shared" si="14"/>
        <v>0</v>
      </c>
      <c r="AD27" s="171">
        <f t="shared" si="15"/>
        <v>0</v>
      </c>
      <c r="AE27" s="171">
        <f t="shared" si="16"/>
        <v>0</v>
      </c>
      <c r="AF27" s="171">
        <f t="shared" si="17"/>
        <v>0</v>
      </c>
      <c r="AG27" s="171">
        <f t="shared" si="18"/>
        <v>0</v>
      </c>
      <c r="AH27" s="171">
        <f t="shared" si="19"/>
        <v>0</v>
      </c>
      <c r="AI27" s="171">
        <f t="shared" si="20"/>
        <v>0</v>
      </c>
      <c r="AJ27" s="177"/>
      <c r="AK27" s="171">
        <f t="shared" si="21"/>
        <v>0</v>
      </c>
      <c r="AL27" s="171">
        <f t="shared" si="22"/>
        <v>0</v>
      </c>
      <c r="AM27" s="171">
        <f t="shared" si="23"/>
        <v>0</v>
      </c>
      <c r="AN27" s="171">
        <f t="shared" si="24"/>
        <v>0</v>
      </c>
      <c r="AO27" s="177"/>
      <c r="AP27" s="203">
        <f t="shared" si="2"/>
        <v>20000</v>
      </c>
    </row>
    <row r="28" spans="1:42" s="204" customFormat="1" ht="78.75" hidden="1" x14ac:dyDescent="0.2">
      <c r="A28" s="196"/>
      <c r="B28" s="197" t="s">
        <v>70</v>
      </c>
      <c r="C28" s="199"/>
      <c r="D28" s="199" t="s">
        <v>71</v>
      </c>
      <c r="E28" s="199" t="s">
        <v>62</v>
      </c>
      <c r="F28" s="200" t="s">
        <v>72</v>
      </c>
      <c r="G28" s="169">
        <f t="shared" si="4"/>
        <v>195000</v>
      </c>
      <c r="H28" s="201">
        <v>195000</v>
      </c>
      <c r="I28" s="171"/>
      <c r="J28" s="201">
        <f t="shared" si="25"/>
        <v>0</v>
      </c>
      <c r="K28" s="201">
        <f t="shared" si="26"/>
        <v>0</v>
      </c>
      <c r="L28" s="201">
        <f t="shared" si="27"/>
        <v>0</v>
      </c>
      <c r="M28" s="201">
        <f t="shared" si="28"/>
        <v>0</v>
      </c>
      <c r="N28" s="171">
        <f t="shared" si="5"/>
        <v>195000</v>
      </c>
      <c r="O28" s="171">
        <f t="shared" si="6"/>
        <v>205335</v>
      </c>
      <c r="P28" s="171">
        <f t="shared" si="7"/>
        <v>215807.08499999999</v>
      </c>
      <c r="Q28" s="171"/>
      <c r="R28" s="171">
        <f t="shared" si="8"/>
        <v>0</v>
      </c>
      <c r="S28" s="171">
        <f t="shared" si="9"/>
        <v>0</v>
      </c>
      <c r="T28" s="171">
        <f t="shared" si="10"/>
        <v>205335</v>
      </c>
      <c r="U28" s="171">
        <f t="shared" si="11"/>
        <v>215807.08499999999</v>
      </c>
      <c r="V28" s="170">
        <f t="shared" si="29"/>
        <v>0</v>
      </c>
      <c r="W28" s="177"/>
      <c r="X28" s="171">
        <f t="shared" si="12"/>
        <v>0</v>
      </c>
      <c r="Y28" s="171">
        <f t="shared" si="13"/>
        <v>0</v>
      </c>
      <c r="Z28" s="177"/>
      <c r="AA28" s="177"/>
      <c r="AB28" s="177"/>
      <c r="AC28" s="171">
        <f t="shared" si="14"/>
        <v>0</v>
      </c>
      <c r="AD28" s="171">
        <f t="shared" si="15"/>
        <v>0</v>
      </c>
      <c r="AE28" s="171">
        <f t="shared" si="16"/>
        <v>0</v>
      </c>
      <c r="AF28" s="171">
        <f t="shared" si="17"/>
        <v>0</v>
      </c>
      <c r="AG28" s="171">
        <f t="shared" si="18"/>
        <v>0</v>
      </c>
      <c r="AH28" s="171">
        <f t="shared" si="19"/>
        <v>0</v>
      </c>
      <c r="AI28" s="171">
        <f t="shared" si="20"/>
        <v>0</v>
      </c>
      <c r="AJ28" s="177"/>
      <c r="AK28" s="171">
        <f t="shared" si="21"/>
        <v>0</v>
      </c>
      <c r="AL28" s="171">
        <f t="shared" si="22"/>
        <v>0</v>
      </c>
      <c r="AM28" s="171">
        <f t="shared" si="23"/>
        <v>0</v>
      </c>
      <c r="AN28" s="171">
        <f t="shared" si="24"/>
        <v>0</v>
      </c>
      <c r="AO28" s="177"/>
      <c r="AP28" s="203">
        <f t="shared" si="2"/>
        <v>195000</v>
      </c>
    </row>
    <row r="29" spans="1:42" s="204" customFormat="1" ht="15.75" hidden="1" x14ac:dyDescent="0.2">
      <c r="A29" s="196"/>
      <c r="B29" s="206"/>
      <c r="C29" s="198"/>
      <c r="D29" s="198"/>
      <c r="E29" s="207"/>
      <c r="F29" s="205"/>
      <c r="G29" s="169">
        <f t="shared" si="4"/>
        <v>0</v>
      </c>
      <c r="H29" s="169"/>
      <c r="I29" s="171"/>
      <c r="J29" s="201">
        <f t="shared" si="25"/>
        <v>0</v>
      </c>
      <c r="K29" s="201">
        <f t="shared" si="26"/>
        <v>0</v>
      </c>
      <c r="L29" s="201">
        <f t="shared" si="27"/>
        <v>0</v>
      </c>
      <c r="M29" s="201">
        <f t="shared" si="28"/>
        <v>0</v>
      </c>
      <c r="N29" s="171">
        <f t="shared" si="5"/>
        <v>0</v>
      </c>
      <c r="O29" s="171">
        <f t="shared" si="6"/>
        <v>0</v>
      </c>
      <c r="P29" s="171">
        <f t="shared" si="7"/>
        <v>0</v>
      </c>
      <c r="Q29" s="171"/>
      <c r="R29" s="171">
        <f t="shared" si="8"/>
        <v>0</v>
      </c>
      <c r="S29" s="171">
        <f t="shared" si="9"/>
        <v>0</v>
      </c>
      <c r="T29" s="171">
        <f t="shared" si="10"/>
        <v>0</v>
      </c>
      <c r="U29" s="171">
        <f t="shared" si="11"/>
        <v>0</v>
      </c>
      <c r="V29" s="170">
        <f t="shared" si="29"/>
        <v>0</v>
      </c>
      <c r="W29" s="177"/>
      <c r="X29" s="171">
        <f t="shared" si="12"/>
        <v>0</v>
      </c>
      <c r="Y29" s="171">
        <f t="shared" si="13"/>
        <v>0</v>
      </c>
      <c r="Z29" s="177"/>
      <c r="AA29" s="177"/>
      <c r="AB29" s="177"/>
      <c r="AC29" s="171">
        <f t="shared" si="14"/>
        <v>0</v>
      </c>
      <c r="AD29" s="171">
        <f t="shared" si="15"/>
        <v>0</v>
      </c>
      <c r="AE29" s="171">
        <f t="shared" si="16"/>
        <v>0</v>
      </c>
      <c r="AF29" s="171">
        <f t="shared" si="17"/>
        <v>0</v>
      </c>
      <c r="AG29" s="171">
        <f t="shared" si="18"/>
        <v>0</v>
      </c>
      <c r="AH29" s="171">
        <f t="shared" si="19"/>
        <v>0</v>
      </c>
      <c r="AI29" s="171">
        <f t="shared" si="20"/>
        <v>0</v>
      </c>
      <c r="AJ29" s="177"/>
      <c r="AK29" s="171">
        <f t="shared" si="21"/>
        <v>0</v>
      </c>
      <c r="AL29" s="171">
        <f t="shared" si="22"/>
        <v>0</v>
      </c>
      <c r="AM29" s="171">
        <f t="shared" si="23"/>
        <v>0</v>
      </c>
      <c r="AN29" s="171">
        <f t="shared" si="24"/>
        <v>0</v>
      </c>
      <c r="AO29" s="177"/>
      <c r="AP29" s="203">
        <f t="shared" si="2"/>
        <v>0</v>
      </c>
    </row>
    <row r="30" spans="1:42" s="204" customFormat="1" ht="31.5" hidden="1" x14ac:dyDescent="0.2">
      <c r="A30" s="196"/>
      <c r="B30" s="208" t="s">
        <v>73</v>
      </c>
      <c r="C30" s="199"/>
      <c r="D30" s="199" t="s">
        <v>74</v>
      </c>
      <c r="E30" s="199" t="s">
        <v>75</v>
      </c>
      <c r="F30" s="200" t="s">
        <v>76</v>
      </c>
      <c r="G30" s="169">
        <f t="shared" si="4"/>
        <v>40540</v>
      </c>
      <c r="H30" s="171">
        <v>40540</v>
      </c>
      <c r="I30" s="171"/>
      <c r="J30" s="201">
        <f t="shared" si="25"/>
        <v>0</v>
      </c>
      <c r="K30" s="201">
        <f t="shared" si="26"/>
        <v>0</v>
      </c>
      <c r="L30" s="201">
        <f t="shared" si="27"/>
        <v>0</v>
      </c>
      <c r="M30" s="201">
        <f t="shared" si="28"/>
        <v>0</v>
      </c>
      <c r="N30" s="171">
        <f t="shared" si="5"/>
        <v>40540</v>
      </c>
      <c r="O30" s="171">
        <f t="shared" si="6"/>
        <v>42688.619999999995</v>
      </c>
      <c r="P30" s="171">
        <f t="shared" si="7"/>
        <v>44865.739619999993</v>
      </c>
      <c r="Q30" s="171"/>
      <c r="R30" s="171">
        <f t="shared" si="8"/>
        <v>0</v>
      </c>
      <c r="S30" s="171">
        <f t="shared" si="9"/>
        <v>0</v>
      </c>
      <c r="T30" s="171">
        <f t="shared" si="10"/>
        <v>42688.619999999995</v>
      </c>
      <c r="U30" s="171">
        <f t="shared" si="11"/>
        <v>44865.739619999993</v>
      </c>
      <c r="V30" s="170">
        <f t="shared" si="29"/>
        <v>0</v>
      </c>
      <c r="W30" s="177"/>
      <c r="X30" s="171">
        <f t="shared" si="12"/>
        <v>0</v>
      </c>
      <c r="Y30" s="171">
        <f t="shared" si="13"/>
        <v>0</v>
      </c>
      <c r="Z30" s="177"/>
      <c r="AA30" s="177"/>
      <c r="AB30" s="177"/>
      <c r="AC30" s="171">
        <f t="shared" si="14"/>
        <v>0</v>
      </c>
      <c r="AD30" s="171">
        <f t="shared" si="15"/>
        <v>0</v>
      </c>
      <c r="AE30" s="171">
        <f t="shared" si="16"/>
        <v>0</v>
      </c>
      <c r="AF30" s="171">
        <f t="shared" si="17"/>
        <v>0</v>
      </c>
      <c r="AG30" s="171">
        <f t="shared" si="18"/>
        <v>0</v>
      </c>
      <c r="AH30" s="171">
        <f t="shared" si="19"/>
        <v>0</v>
      </c>
      <c r="AI30" s="171">
        <f t="shared" si="20"/>
        <v>0</v>
      </c>
      <c r="AJ30" s="177"/>
      <c r="AK30" s="171">
        <f t="shared" si="21"/>
        <v>0</v>
      </c>
      <c r="AL30" s="171">
        <f t="shared" si="22"/>
        <v>0</v>
      </c>
      <c r="AM30" s="171">
        <f t="shared" si="23"/>
        <v>0</v>
      </c>
      <c r="AN30" s="171">
        <f t="shared" si="24"/>
        <v>0</v>
      </c>
      <c r="AO30" s="177"/>
      <c r="AP30" s="203">
        <f t="shared" si="2"/>
        <v>40540</v>
      </c>
    </row>
    <row r="31" spans="1:42" s="204" customFormat="1" ht="15.75" hidden="1" x14ac:dyDescent="0.2">
      <c r="A31" s="196"/>
      <c r="B31" s="208" t="s">
        <v>77</v>
      </c>
      <c r="C31" s="199"/>
      <c r="D31" s="199" t="s">
        <v>78</v>
      </c>
      <c r="E31" s="199" t="s">
        <v>79</v>
      </c>
      <c r="F31" s="200" t="s">
        <v>80</v>
      </c>
      <c r="G31" s="169">
        <f t="shared" si="4"/>
        <v>300000</v>
      </c>
      <c r="H31" s="171">
        <v>300000</v>
      </c>
      <c r="I31" s="171">
        <v>237705</v>
      </c>
      <c r="J31" s="201">
        <f t="shared" si="25"/>
        <v>52295.1</v>
      </c>
      <c r="K31" s="201">
        <f t="shared" si="26"/>
        <v>290000.09999999998</v>
      </c>
      <c r="L31" s="201">
        <f t="shared" si="27"/>
        <v>313200.10800000001</v>
      </c>
      <c r="M31" s="201">
        <f t="shared" si="28"/>
        <v>337316.51631600002</v>
      </c>
      <c r="N31" s="171">
        <f t="shared" si="5"/>
        <v>9999.9000000000233</v>
      </c>
      <c r="O31" s="171">
        <f t="shared" si="6"/>
        <v>10529.894700000024</v>
      </c>
      <c r="P31" s="171">
        <f t="shared" si="7"/>
        <v>11066.919329700026</v>
      </c>
      <c r="Q31" s="171"/>
      <c r="R31" s="171">
        <f t="shared" si="8"/>
        <v>0</v>
      </c>
      <c r="S31" s="171">
        <f t="shared" si="9"/>
        <v>0</v>
      </c>
      <c r="T31" s="171">
        <f t="shared" si="10"/>
        <v>323730.00270000001</v>
      </c>
      <c r="U31" s="171">
        <f t="shared" si="11"/>
        <v>348383.43564570002</v>
      </c>
      <c r="V31" s="170">
        <f t="shared" si="29"/>
        <v>0</v>
      </c>
      <c r="W31" s="177"/>
      <c r="X31" s="171">
        <f t="shared" si="12"/>
        <v>0</v>
      </c>
      <c r="Y31" s="171">
        <f t="shared" si="13"/>
        <v>0</v>
      </c>
      <c r="Z31" s="177"/>
      <c r="AA31" s="177"/>
      <c r="AB31" s="177"/>
      <c r="AC31" s="171">
        <f t="shared" si="14"/>
        <v>0</v>
      </c>
      <c r="AD31" s="171">
        <f t="shared" si="15"/>
        <v>0</v>
      </c>
      <c r="AE31" s="171">
        <f t="shared" si="16"/>
        <v>0</v>
      </c>
      <c r="AF31" s="171">
        <f t="shared" si="17"/>
        <v>0</v>
      </c>
      <c r="AG31" s="171">
        <f t="shared" si="18"/>
        <v>0</v>
      </c>
      <c r="AH31" s="171">
        <f t="shared" si="19"/>
        <v>0</v>
      </c>
      <c r="AI31" s="171">
        <f t="shared" si="20"/>
        <v>0</v>
      </c>
      <c r="AJ31" s="177"/>
      <c r="AK31" s="171">
        <f t="shared" si="21"/>
        <v>0</v>
      </c>
      <c r="AL31" s="171">
        <f t="shared" si="22"/>
        <v>0</v>
      </c>
      <c r="AM31" s="171">
        <f t="shared" si="23"/>
        <v>0</v>
      </c>
      <c r="AN31" s="171">
        <f t="shared" si="24"/>
        <v>0</v>
      </c>
      <c r="AO31" s="177"/>
      <c r="AP31" s="203">
        <f t="shared" si="2"/>
        <v>300000</v>
      </c>
    </row>
    <row r="32" spans="1:42" s="204" customFormat="1" ht="31.5" hidden="1" x14ac:dyDescent="0.2">
      <c r="A32" s="196"/>
      <c r="B32" s="208" t="s">
        <v>81</v>
      </c>
      <c r="C32" s="199"/>
      <c r="D32" s="199" t="s">
        <v>82</v>
      </c>
      <c r="E32" s="199" t="s">
        <v>83</v>
      </c>
      <c r="F32" s="200" t="s">
        <v>84</v>
      </c>
      <c r="G32" s="169">
        <f t="shared" si="4"/>
        <v>0</v>
      </c>
      <c r="H32" s="169"/>
      <c r="I32" s="171"/>
      <c r="J32" s="201">
        <f t="shared" si="25"/>
        <v>0</v>
      </c>
      <c r="K32" s="201">
        <f t="shared" si="26"/>
        <v>0</v>
      </c>
      <c r="L32" s="201">
        <f t="shared" si="27"/>
        <v>0</v>
      </c>
      <c r="M32" s="201">
        <f t="shared" si="28"/>
        <v>0</v>
      </c>
      <c r="N32" s="171">
        <f t="shared" si="5"/>
        <v>0</v>
      </c>
      <c r="O32" s="171">
        <f t="shared" si="6"/>
        <v>0</v>
      </c>
      <c r="P32" s="171">
        <f t="shared" si="7"/>
        <v>0</v>
      </c>
      <c r="Q32" s="171"/>
      <c r="R32" s="171">
        <f t="shared" si="8"/>
        <v>0</v>
      </c>
      <c r="S32" s="171">
        <f t="shared" si="9"/>
        <v>0</v>
      </c>
      <c r="T32" s="171">
        <f t="shared" si="10"/>
        <v>0</v>
      </c>
      <c r="U32" s="171">
        <f t="shared" si="11"/>
        <v>0</v>
      </c>
      <c r="V32" s="170">
        <f t="shared" si="29"/>
        <v>0</v>
      </c>
      <c r="W32" s="177"/>
      <c r="X32" s="171">
        <f t="shared" si="12"/>
        <v>0</v>
      </c>
      <c r="Y32" s="171">
        <f t="shared" si="13"/>
        <v>0</v>
      </c>
      <c r="Z32" s="177"/>
      <c r="AA32" s="177"/>
      <c r="AB32" s="177"/>
      <c r="AC32" s="171">
        <f t="shared" si="14"/>
        <v>0</v>
      </c>
      <c r="AD32" s="171">
        <f t="shared" si="15"/>
        <v>0</v>
      </c>
      <c r="AE32" s="171">
        <f t="shared" si="16"/>
        <v>0</v>
      </c>
      <c r="AF32" s="171">
        <f t="shared" si="17"/>
        <v>0</v>
      </c>
      <c r="AG32" s="171">
        <f t="shared" si="18"/>
        <v>0</v>
      </c>
      <c r="AH32" s="171">
        <f t="shared" si="19"/>
        <v>0</v>
      </c>
      <c r="AI32" s="171">
        <f t="shared" si="20"/>
        <v>0</v>
      </c>
      <c r="AJ32" s="177"/>
      <c r="AK32" s="171">
        <f t="shared" si="21"/>
        <v>0</v>
      </c>
      <c r="AL32" s="171">
        <f t="shared" si="22"/>
        <v>0</v>
      </c>
      <c r="AM32" s="171">
        <f t="shared" si="23"/>
        <v>0</v>
      </c>
      <c r="AN32" s="171">
        <f t="shared" si="24"/>
        <v>0</v>
      </c>
      <c r="AO32" s="177"/>
      <c r="AP32" s="203">
        <f t="shared" si="2"/>
        <v>0</v>
      </c>
    </row>
    <row r="33" spans="1:42" s="204" customFormat="1" ht="31.5" hidden="1" x14ac:dyDescent="0.2">
      <c r="A33" s="196"/>
      <c r="B33" s="208" t="s">
        <v>85</v>
      </c>
      <c r="C33" s="199"/>
      <c r="D33" s="199" t="s">
        <v>86</v>
      </c>
      <c r="E33" s="199" t="s">
        <v>83</v>
      </c>
      <c r="F33" s="200" t="s">
        <v>87</v>
      </c>
      <c r="G33" s="169">
        <f t="shared" si="4"/>
        <v>517600</v>
      </c>
      <c r="H33" s="171">
        <v>517600</v>
      </c>
      <c r="I33" s="171"/>
      <c r="J33" s="201">
        <f t="shared" si="25"/>
        <v>0</v>
      </c>
      <c r="K33" s="201">
        <f t="shared" si="26"/>
        <v>0</v>
      </c>
      <c r="L33" s="201">
        <f t="shared" si="27"/>
        <v>0</v>
      </c>
      <c r="M33" s="201">
        <f t="shared" si="28"/>
        <v>0</v>
      </c>
      <c r="N33" s="171">
        <f t="shared" si="5"/>
        <v>517600</v>
      </c>
      <c r="O33" s="171">
        <f t="shared" si="6"/>
        <v>545032.79999999993</v>
      </c>
      <c r="P33" s="171">
        <f t="shared" si="7"/>
        <v>572829.47279999987</v>
      </c>
      <c r="Q33" s="171"/>
      <c r="R33" s="171">
        <f t="shared" si="8"/>
        <v>0</v>
      </c>
      <c r="S33" s="171">
        <f t="shared" si="9"/>
        <v>0</v>
      </c>
      <c r="T33" s="171">
        <f t="shared" si="10"/>
        <v>545032.79999999993</v>
      </c>
      <c r="U33" s="171">
        <f t="shared" si="11"/>
        <v>572829.47279999987</v>
      </c>
      <c r="V33" s="170">
        <f t="shared" si="29"/>
        <v>0</v>
      </c>
      <c r="W33" s="177"/>
      <c r="X33" s="171">
        <f t="shared" si="12"/>
        <v>0</v>
      </c>
      <c r="Y33" s="171">
        <f t="shared" si="13"/>
        <v>0</v>
      </c>
      <c r="Z33" s="177"/>
      <c r="AA33" s="177"/>
      <c r="AB33" s="177"/>
      <c r="AC33" s="171">
        <f t="shared" si="14"/>
        <v>0</v>
      </c>
      <c r="AD33" s="171">
        <f t="shared" si="15"/>
        <v>0</v>
      </c>
      <c r="AE33" s="171">
        <f t="shared" si="16"/>
        <v>0</v>
      </c>
      <c r="AF33" s="171">
        <f t="shared" si="17"/>
        <v>0</v>
      </c>
      <c r="AG33" s="171">
        <f t="shared" si="18"/>
        <v>0</v>
      </c>
      <c r="AH33" s="171">
        <f t="shared" si="19"/>
        <v>0</v>
      </c>
      <c r="AI33" s="171">
        <f t="shared" si="20"/>
        <v>0</v>
      </c>
      <c r="AJ33" s="177"/>
      <c r="AK33" s="171">
        <f t="shared" si="21"/>
        <v>0</v>
      </c>
      <c r="AL33" s="171">
        <f t="shared" si="22"/>
        <v>0</v>
      </c>
      <c r="AM33" s="171">
        <f t="shared" si="23"/>
        <v>0</v>
      </c>
      <c r="AN33" s="171">
        <f t="shared" si="24"/>
        <v>0</v>
      </c>
      <c r="AO33" s="177"/>
      <c r="AP33" s="203">
        <f t="shared" si="2"/>
        <v>517600</v>
      </c>
    </row>
    <row r="34" spans="1:42" s="18" customFormat="1" ht="15.75" hidden="1" x14ac:dyDescent="0.2">
      <c r="A34" s="36"/>
      <c r="B34" s="110"/>
      <c r="C34" s="94"/>
      <c r="D34" s="94"/>
      <c r="E34" s="94"/>
      <c r="F34" s="109"/>
      <c r="G34" s="96">
        <f t="shared" si="4"/>
        <v>0</v>
      </c>
      <c r="H34" s="96"/>
      <c r="I34" s="98"/>
      <c r="J34" s="103">
        <f t="shared" si="25"/>
        <v>0</v>
      </c>
      <c r="K34" s="103">
        <f t="shared" si="26"/>
        <v>0</v>
      </c>
      <c r="L34" s="103">
        <f t="shared" si="27"/>
        <v>0</v>
      </c>
      <c r="M34" s="103">
        <f t="shared" si="28"/>
        <v>0</v>
      </c>
      <c r="N34" s="98">
        <f t="shared" si="5"/>
        <v>0</v>
      </c>
      <c r="O34" s="98">
        <f t="shared" si="6"/>
        <v>0</v>
      </c>
      <c r="P34" s="98">
        <f t="shared" si="7"/>
        <v>0</v>
      </c>
      <c r="Q34" s="98"/>
      <c r="R34" s="98">
        <f t="shared" si="8"/>
        <v>0</v>
      </c>
      <c r="S34" s="98">
        <f t="shared" si="9"/>
        <v>0</v>
      </c>
      <c r="T34" s="150">
        <f t="shared" si="10"/>
        <v>0</v>
      </c>
      <c r="U34" s="150">
        <f t="shared" si="11"/>
        <v>0</v>
      </c>
      <c r="V34" s="99">
        <f t="shared" si="29"/>
        <v>0</v>
      </c>
      <c r="W34" s="105"/>
      <c r="X34" s="171">
        <f t="shared" si="12"/>
        <v>0</v>
      </c>
      <c r="Y34" s="171">
        <f t="shared" si="13"/>
        <v>0</v>
      </c>
      <c r="Z34" s="105"/>
      <c r="AA34" s="105"/>
      <c r="AB34" s="105"/>
      <c r="AC34" s="98">
        <f t="shared" si="14"/>
        <v>0</v>
      </c>
      <c r="AD34" s="98">
        <f t="shared" si="15"/>
        <v>0</v>
      </c>
      <c r="AE34" s="98">
        <f t="shared" si="16"/>
        <v>0</v>
      </c>
      <c r="AF34" s="98">
        <f t="shared" si="17"/>
        <v>0</v>
      </c>
      <c r="AG34" s="98">
        <f t="shared" si="18"/>
        <v>0</v>
      </c>
      <c r="AH34" s="98">
        <f t="shared" si="19"/>
        <v>0</v>
      </c>
      <c r="AI34" s="98">
        <f t="shared" si="20"/>
        <v>0</v>
      </c>
      <c r="AJ34" s="105"/>
      <c r="AK34" s="98">
        <f t="shared" si="21"/>
        <v>0</v>
      </c>
      <c r="AL34" s="98">
        <f t="shared" si="22"/>
        <v>0</v>
      </c>
      <c r="AM34" s="150">
        <f t="shared" si="23"/>
        <v>0</v>
      </c>
      <c r="AN34" s="150">
        <f t="shared" si="24"/>
        <v>0</v>
      </c>
      <c r="AO34" s="105"/>
      <c r="AP34" s="102">
        <f t="shared" si="2"/>
        <v>0</v>
      </c>
    </row>
    <row r="35" spans="1:42" s="220" customFormat="1" ht="31.5" hidden="1" x14ac:dyDescent="0.2">
      <c r="A35" s="210"/>
      <c r="B35" s="211" t="s">
        <v>88</v>
      </c>
      <c r="C35" s="212"/>
      <c r="D35" s="212" t="s">
        <v>89</v>
      </c>
      <c r="E35" s="212" t="s">
        <v>90</v>
      </c>
      <c r="F35" s="213" t="s">
        <v>91</v>
      </c>
      <c r="G35" s="214">
        <f t="shared" si="4"/>
        <v>400000</v>
      </c>
      <c r="H35" s="215">
        <v>400000</v>
      </c>
      <c r="I35" s="215"/>
      <c r="J35" s="216">
        <f t="shared" si="25"/>
        <v>0</v>
      </c>
      <c r="K35" s="216">
        <f t="shared" si="26"/>
        <v>0</v>
      </c>
      <c r="L35" s="216">
        <f t="shared" si="27"/>
        <v>0</v>
      </c>
      <c r="M35" s="216">
        <f t="shared" si="28"/>
        <v>0</v>
      </c>
      <c r="N35" s="215">
        <f t="shared" si="5"/>
        <v>400000</v>
      </c>
      <c r="O35" s="215">
        <f t="shared" si="6"/>
        <v>421200</v>
      </c>
      <c r="P35" s="215">
        <f t="shared" si="7"/>
        <v>442681.19999999995</v>
      </c>
      <c r="Q35" s="215"/>
      <c r="R35" s="215">
        <f t="shared" si="8"/>
        <v>0</v>
      </c>
      <c r="S35" s="215">
        <f t="shared" si="9"/>
        <v>0</v>
      </c>
      <c r="T35" s="215">
        <f t="shared" si="10"/>
        <v>421200</v>
      </c>
      <c r="U35" s="215">
        <f t="shared" si="11"/>
        <v>442681.19999999995</v>
      </c>
      <c r="V35" s="217">
        <f t="shared" si="29"/>
        <v>0</v>
      </c>
      <c r="W35" s="218"/>
      <c r="X35" s="215">
        <f t="shared" si="12"/>
        <v>0</v>
      </c>
      <c r="Y35" s="215">
        <f t="shared" si="13"/>
        <v>0</v>
      </c>
      <c r="Z35" s="218"/>
      <c r="AA35" s="218"/>
      <c r="AB35" s="218"/>
      <c r="AC35" s="215">
        <f t="shared" si="14"/>
        <v>0</v>
      </c>
      <c r="AD35" s="215">
        <f t="shared" si="15"/>
        <v>0</v>
      </c>
      <c r="AE35" s="215">
        <f t="shared" si="16"/>
        <v>0</v>
      </c>
      <c r="AF35" s="215">
        <f t="shared" si="17"/>
        <v>0</v>
      </c>
      <c r="AG35" s="215">
        <f t="shared" si="18"/>
        <v>0</v>
      </c>
      <c r="AH35" s="215">
        <f t="shared" si="19"/>
        <v>0</v>
      </c>
      <c r="AI35" s="215">
        <f t="shared" si="20"/>
        <v>0</v>
      </c>
      <c r="AJ35" s="218"/>
      <c r="AK35" s="215">
        <f t="shared" si="21"/>
        <v>0</v>
      </c>
      <c r="AL35" s="215">
        <f t="shared" si="22"/>
        <v>0</v>
      </c>
      <c r="AM35" s="215">
        <f t="shared" si="23"/>
        <v>0</v>
      </c>
      <c r="AN35" s="215">
        <f t="shared" si="24"/>
        <v>0</v>
      </c>
      <c r="AO35" s="218"/>
      <c r="AP35" s="219">
        <f t="shared" si="2"/>
        <v>400000</v>
      </c>
    </row>
    <row r="36" spans="1:42" s="220" customFormat="1" ht="15.75" hidden="1" x14ac:dyDescent="0.2">
      <c r="A36" s="210"/>
      <c r="B36" s="221"/>
      <c r="C36" s="222"/>
      <c r="D36" s="222"/>
      <c r="E36" s="222"/>
      <c r="F36" s="223"/>
      <c r="G36" s="214">
        <f t="shared" si="4"/>
        <v>0</v>
      </c>
      <c r="H36" s="214"/>
      <c r="I36" s="214"/>
      <c r="J36" s="216">
        <f t="shared" si="25"/>
        <v>0</v>
      </c>
      <c r="K36" s="216">
        <f t="shared" si="26"/>
        <v>0</v>
      </c>
      <c r="L36" s="216">
        <f t="shared" si="27"/>
        <v>0</v>
      </c>
      <c r="M36" s="216">
        <f t="shared" si="28"/>
        <v>0</v>
      </c>
      <c r="N36" s="215">
        <f t="shared" si="5"/>
        <v>0</v>
      </c>
      <c r="O36" s="215">
        <f t="shared" si="6"/>
        <v>0</v>
      </c>
      <c r="P36" s="215">
        <f t="shared" si="7"/>
        <v>0</v>
      </c>
      <c r="Q36" s="214"/>
      <c r="R36" s="215">
        <f t="shared" si="8"/>
        <v>0</v>
      </c>
      <c r="S36" s="215">
        <f t="shared" si="9"/>
        <v>0</v>
      </c>
      <c r="T36" s="215">
        <f t="shared" si="10"/>
        <v>0</v>
      </c>
      <c r="U36" s="215">
        <f t="shared" si="11"/>
        <v>0</v>
      </c>
      <c r="V36" s="217">
        <f t="shared" si="29"/>
        <v>0</v>
      </c>
      <c r="W36" s="217"/>
      <c r="X36" s="215">
        <f t="shared" si="12"/>
        <v>0</v>
      </c>
      <c r="Y36" s="215">
        <f t="shared" si="13"/>
        <v>0</v>
      </c>
      <c r="Z36" s="217"/>
      <c r="AA36" s="217"/>
      <c r="AB36" s="217"/>
      <c r="AC36" s="215">
        <f t="shared" si="14"/>
        <v>0</v>
      </c>
      <c r="AD36" s="215">
        <f t="shared" si="15"/>
        <v>0</v>
      </c>
      <c r="AE36" s="215">
        <f t="shared" si="16"/>
        <v>0</v>
      </c>
      <c r="AF36" s="215">
        <f t="shared" si="17"/>
        <v>0</v>
      </c>
      <c r="AG36" s="215">
        <f t="shared" si="18"/>
        <v>0</v>
      </c>
      <c r="AH36" s="215">
        <f t="shared" si="19"/>
        <v>0</v>
      </c>
      <c r="AI36" s="215">
        <f t="shared" si="20"/>
        <v>0</v>
      </c>
      <c r="AJ36" s="217"/>
      <c r="AK36" s="215">
        <f t="shared" si="21"/>
        <v>0</v>
      </c>
      <c r="AL36" s="215">
        <f t="shared" si="22"/>
        <v>0</v>
      </c>
      <c r="AM36" s="215">
        <f t="shared" si="23"/>
        <v>0</v>
      </c>
      <c r="AN36" s="215">
        <f t="shared" si="24"/>
        <v>0</v>
      </c>
      <c r="AO36" s="217"/>
      <c r="AP36" s="219">
        <f t="shared" si="2"/>
        <v>0</v>
      </c>
    </row>
    <row r="37" spans="1:42" s="220" customFormat="1" ht="39.75" hidden="1" customHeight="1" x14ac:dyDescent="0.2">
      <c r="A37" s="210"/>
      <c r="B37" s="211"/>
      <c r="C37" s="212"/>
      <c r="D37" s="212"/>
      <c r="E37" s="212"/>
      <c r="F37" s="213" t="s">
        <v>92</v>
      </c>
      <c r="G37" s="214">
        <f t="shared" si="4"/>
        <v>0</v>
      </c>
      <c r="H37" s="215"/>
      <c r="I37" s="215"/>
      <c r="J37" s="216">
        <f t="shared" si="25"/>
        <v>0</v>
      </c>
      <c r="K37" s="216">
        <f t="shared" si="26"/>
        <v>0</v>
      </c>
      <c r="L37" s="216">
        <f t="shared" si="27"/>
        <v>0</v>
      </c>
      <c r="M37" s="216">
        <f t="shared" si="28"/>
        <v>0</v>
      </c>
      <c r="N37" s="215">
        <f t="shared" si="5"/>
        <v>0</v>
      </c>
      <c r="O37" s="215">
        <f t="shared" si="6"/>
        <v>0</v>
      </c>
      <c r="P37" s="215">
        <f t="shared" si="7"/>
        <v>0</v>
      </c>
      <c r="Q37" s="215"/>
      <c r="R37" s="215">
        <f t="shared" si="8"/>
        <v>0</v>
      </c>
      <c r="S37" s="215">
        <f t="shared" si="9"/>
        <v>0</v>
      </c>
      <c r="T37" s="215">
        <f t="shared" si="10"/>
        <v>0</v>
      </c>
      <c r="U37" s="215">
        <f t="shared" si="11"/>
        <v>0</v>
      </c>
      <c r="V37" s="217">
        <f t="shared" si="29"/>
        <v>0</v>
      </c>
      <c r="W37" s="218"/>
      <c r="X37" s="215">
        <f t="shared" si="12"/>
        <v>0</v>
      </c>
      <c r="Y37" s="215">
        <f t="shared" si="13"/>
        <v>0</v>
      </c>
      <c r="Z37" s="218"/>
      <c r="AA37" s="218"/>
      <c r="AB37" s="218"/>
      <c r="AC37" s="215">
        <f t="shared" si="14"/>
        <v>0</v>
      </c>
      <c r="AD37" s="215">
        <f t="shared" si="15"/>
        <v>0</v>
      </c>
      <c r="AE37" s="215">
        <f t="shared" si="16"/>
        <v>0</v>
      </c>
      <c r="AF37" s="215">
        <f t="shared" si="17"/>
        <v>0</v>
      </c>
      <c r="AG37" s="215">
        <f t="shared" si="18"/>
        <v>0</v>
      </c>
      <c r="AH37" s="215">
        <f t="shared" si="19"/>
        <v>0</v>
      </c>
      <c r="AI37" s="215">
        <f t="shared" si="20"/>
        <v>0</v>
      </c>
      <c r="AJ37" s="218"/>
      <c r="AK37" s="215">
        <f t="shared" si="21"/>
        <v>0</v>
      </c>
      <c r="AL37" s="215">
        <f t="shared" si="22"/>
        <v>0</v>
      </c>
      <c r="AM37" s="215">
        <f t="shared" si="23"/>
        <v>0</v>
      </c>
      <c r="AN37" s="215">
        <f t="shared" si="24"/>
        <v>0</v>
      </c>
      <c r="AO37" s="218"/>
      <c r="AP37" s="219">
        <f t="shared" si="2"/>
        <v>0</v>
      </c>
    </row>
    <row r="38" spans="1:42" s="220" customFormat="1" ht="47.25" hidden="1" x14ac:dyDescent="0.2">
      <c r="A38" s="210"/>
      <c r="B38" s="211" t="s">
        <v>93</v>
      </c>
      <c r="C38" s="212"/>
      <c r="D38" s="212" t="s">
        <v>94</v>
      </c>
      <c r="E38" s="212" t="s">
        <v>90</v>
      </c>
      <c r="F38" s="213" t="s">
        <v>95</v>
      </c>
      <c r="G38" s="214">
        <f t="shared" si="4"/>
        <v>3007530</v>
      </c>
      <c r="H38" s="215">
        <f>3007530</f>
        <v>3007530</v>
      </c>
      <c r="I38" s="215">
        <f>2201418</f>
        <v>2201418</v>
      </c>
      <c r="J38" s="216">
        <f t="shared" si="25"/>
        <v>484311.96</v>
      </c>
      <c r="K38" s="216">
        <f t="shared" si="26"/>
        <v>2685729.96</v>
      </c>
      <c r="L38" s="216">
        <f t="shared" si="27"/>
        <v>2900588.3568000002</v>
      </c>
      <c r="M38" s="216">
        <f t="shared" si="28"/>
        <v>3123933.6602735999</v>
      </c>
      <c r="N38" s="215">
        <f t="shared" si="5"/>
        <v>181000.04000000004</v>
      </c>
      <c r="O38" s="215">
        <f t="shared" si="6"/>
        <v>190593.04212000003</v>
      </c>
      <c r="P38" s="215">
        <f t="shared" si="7"/>
        <v>200313.28726812001</v>
      </c>
      <c r="Q38" s="215">
        <f>1700+18500+120600</f>
        <v>140800</v>
      </c>
      <c r="R38" s="215">
        <f t="shared" si="8"/>
        <v>152064</v>
      </c>
      <c r="S38" s="215">
        <f t="shared" si="9"/>
        <v>161339.90399999998</v>
      </c>
      <c r="T38" s="215">
        <f t="shared" si="10"/>
        <v>3243245.3989200001</v>
      </c>
      <c r="U38" s="215">
        <f t="shared" si="11"/>
        <v>3485586.8515417199</v>
      </c>
      <c r="V38" s="217">
        <f t="shared" si="29"/>
        <v>0</v>
      </c>
      <c r="W38" s="218"/>
      <c r="X38" s="215">
        <f t="shared" si="12"/>
        <v>0</v>
      </c>
      <c r="Y38" s="215">
        <f t="shared" si="13"/>
        <v>0</v>
      </c>
      <c r="Z38" s="218"/>
      <c r="AA38" s="218"/>
      <c r="AB38" s="218"/>
      <c r="AC38" s="215">
        <f t="shared" si="14"/>
        <v>0</v>
      </c>
      <c r="AD38" s="215">
        <f t="shared" si="15"/>
        <v>0</v>
      </c>
      <c r="AE38" s="215">
        <f t="shared" si="16"/>
        <v>0</v>
      </c>
      <c r="AF38" s="215">
        <f t="shared" si="17"/>
        <v>0</v>
      </c>
      <c r="AG38" s="215">
        <f t="shared" si="18"/>
        <v>0</v>
      </c>
      <c r="AH38" s="215">
        <f t="shared" si="19"/>
        <v>0</v>
      </c>
      <c r="AI38" s="215">
        <f t="shared" si="20"/>
        <v>0</v>
      </c>
      <c r="AJ38" s="218"/>
      <c r="AK38" s="215">
        <f t="shared" si="21"/>
        <v>0</v>
      </c>
      <c r="AL38" s="215">
        <f t="shared" si="22"/>
        <v>0</v>
      </c>
      <c r="AM38" s="215">
        <f t="shared" si="23"/>
        <v>0</v>
      </c>
      <c r="AN38" s="215">
        <f t="shared" si="24"/>
        <v>0</v>
      </c>
      <c r="AO38" s="218"/>
      <c r="AP38" s="219">
        <f t="shared" si="2"/>
        <v>3007530</v>
      </c>
    </row>
    <row r="39" spans="1:42" s="18" customFormat="1" ht="30" hidden="1" customHeight="1" x14ac:dyDescent="0.2">
      <c r="A39" s="36"/>
      <c r="B39" s="113"/>
      <c r="C39" s="104"/>
      <c r="D39" s="104"/>
      <c r="E39" s="114"/>
      <c r="F39" s="97" t="s">
        <v>92</v>
      </c>
      <c r="G39" s="96">
        <f t="shared" si="4"/>
        <v>0</v>
      </c>
      <c r="H39" s="98"/>
      <c r="I39" s="98"/>
      <c r="J39" s="103">
        <f t="shared" si="25"/>
        <v>0</v>
      </c>
      <c r="K39" s="103">
        <f t="shared" si="26"/>
        <v>0</v>
      </c>
      <c r="L39" s="103">
        <f t="shared" si="27"/>
        <v>0</v>
      </c>
      <c r="M39" s="103">
        <f t="shared" si="28"/>
        <v>0</v>
      </c>
      <c r="N39" s="98">
        <f t="shared" si="5"/>
        <v>0</v>
      </c>
      <c r="O39" s="98">
        <f t="shared" si="6"/>
        <v>0</v>
      </c>
      <c r="P39" s="98">
        <f t="shared" si="7"/>
        <v>0</v>
      </c>
      <c r="Q39" s="98"/>
      <c r="R39" s="98">
        <f t="shared" si="8"/>
        <v>0</v>
      </c>
      <c r="S39" s="98">
        <f t="shared" si="9"/>
        <v>0</v>
      </c>
      <c r="T39" s="150">
        <f t="shared" si="10"/>
        <v>0</v>
      </c>
      <c r="U39" s="150">
        <f t="shared" si="11"/>
        <v>0</v>
      </c>
      <c r="V39" s="99">
        <f t="shared" si="29"/>
        <v>0</v>
      </c>
      <c r="W39" s="105"/>
      <c r="X39" s="171">
        <f t="shared" si="12"/>
        <v>0</v>
      </c>
      <c r="Y39" s="171">
        <f t="shared" si="13"/>
        <v>0</v>
      </c>
      <c r="Z39" s="105"/>
      <c r="AA39" s="105"/>
      <c r="AB39" s="105"/>
      <c r="AC39" s="98">
        <f t="shared" si="14"/>
        <v>0</v>
      </c>
      <c r="AD39" s="98">
        <f t="shared" si="15"/>
        <v>0</v>
      </c>
      <c r="AE39" s="98">
        <f t="shared" si="16"/>
        <v>0</v>
      </c>
      <c r="AF39" s="98">
        <f t="shared" si="17"/>
        <v>0</v>
      </c>
      <c r="AG39" s="98">
        <f t="shared" si="18"/>
        <v>0</v>
      </c>
      <c r="AH39" s="98">
        <f t="shared" si="19"/>
        <v>0</v>
      </c>
      <c r="AI39" s="98">
        <f t="shared" si="20"/>
        <v>0</v>
      </c>
      <c r="AJ39" s="105"/>
      <c r="AK39" s="98">
        <f t="shared" si="21"/>
        <v>0</v>
      </c>
      <c r="AL39" s="98">
        <f t="shared" si="22"/>
        <v>0</v>
      </c>
      <c r="AM39" s="150">
        <f t="shared" si="23"/>
        <v>0</v>
      </c>
      <c r="AN39" s="150">
        <f t="shared" si="24"/>
        <v>0</v>
      </c>
      <c r="AO39" s="105"/>
      <c r="AP39" s="102">
        <f t="shared" si="2"/>
        <v>0</v>
      </c>
    </row>
    <row r="40" spans="1:42" s="18" customFormat="1" ht="53.25" hidden="1" customHeight="1" x14ac:dyDescent="0.2">
      <c r="A40" s="36"/>
      <c r="B40" s="113"/>
      <c r="C40" s="104"/>
      <c r="D40" s="114"/>
      <c r="E40" s="114"/>
      <c r="F40" s="115"/>
      <c r="G40" s="96">
        <f t="shared" si="4"/>
        <v>0</v>
      </c>
      <c r="H40" s="98"/>
      <c r="I40" s="98"/>
      <c r="J40" s="103">
        <f t="shared" si="25"/>
        <v>0</v>
      </c>
      <c r="K40" s="103">
        <f t="shared" si="26"/>
        <v>0</v>
      </c>
      <c r="L40" s="103">
        <f t="shared" si="27"/>
        <v>0</v>
      </c>
      <c r="M40" s="103">
        <f t="shared" si="28"/>
        <v>0</v>
      </c>
      <c r="N40" s="98">
        <f t="shared" si="5"/>
        <v>0</v>
      </c>
      <c r="O40" s="98">
        <f t="shared" si="6"/>
        <v>0</v>
      </c>
      <c r="P40" s="98">
        <f t="shared" si="7"/>
        <v>0</v>
      </c>
      <c r="Q40" s="98"/>
      <c r="R40" s="98">
        <f t="shared" si="8"/>
        <v>0</v>
      </c>
      <c r="S40" s="98">
        <f t="shared" si="9"/>
        <v>0</v>
      </c>
      <c r="T40" s="150">
        <f t="shared" si="10"/>
        <v>0</v>
      </c>
      <c r="U40" s="150">
        <f t="shared" si="11"/>
        <v>0</v>
      </c>
      <c r="V40" s="99">
        <f t="shared" si="29"/>
        <v>0</v>
      </c>
      <c r="W40" s="105"/>
      <c r="X40" s="171">
        <f t="shared" si="12"/>
        <v>0</v>
      </c>
      <c r="Y40" s="171">
        <f t="shared" si="13"/>
        <v>0</v>
      </c>
      <c r="Z40" s="105"/>
      <c r="AA40" s="105"/>
      <c r="AB40" s="105"/>
      <c r="AC40" s="98">
        <f t="shared" si="14"/>
        <v>0</v>
      </c>
      <c r="AD40" s="98">
        <f t="shared" si="15"/>
        <v>0</v>
      </c>
      <c r="AE40" s="98">
        <f t="shared" si="16"/>
        <v>0</v>
      </c>
      <c r="AF40" s="98">
        <f t="shared" si="17"/>
        <v>0</v>
      </c>
      <c r="AG40" s="98">
        <f t="shared" si="18"/>
        <v>0</v>
      </c>
      <c r="AH40" s="98">
        <f t="shared" si="19"/>
        <v>0</v>
      </c>
      <c r="AI40" s="98">
        <f t="shared" si="20"/>
        <v>0</v>
      </c>
      <c r="AJ40" s="105"/>
      <c r="AK40" s="98">
        <f t="shared" si="21"/>
        <v>0</v>
      </c>
      <c r="AL40" s="98">
        <f t="shared" si="22"/>
        <v>0</v>
      </c>
      <c r="AM40" s="150">
        <f t="shared" si="23"/>
        <v>0</v>
      </c>
      <c r="AN40" s="150">
        <f t="shared" si="24"/>
        <v>0</v>
      </c>
      <c r="AO40" s="105"/>
      <c r="AP40" s="102">
        <f t="shared" si="2"/>
        <v>0</v>
      </c>
    </row>
    <row r="41" spans="1:42" s="18" customFormat="1" ht="31.5" hidden="1" x14ac:dyDescent="0.2">
      <c r="A41" s="36"/>
      <c r="B41" s="110"/>
      <c r="C41" s="94"/>
      <c r="D41" s="111"/>
      <c r="E41" s="111"/>
      <c r="F41" s="97" t="s">
        <v>92</v>
      </c>
      <c r="G41" s="96">
        <f t="shared" si="4"/>
        <v>52300</v>
      </c>
      <c r="H41" s="103">
        <f>178500-126200</f>
        <v>52300</v>
      </c>
      <c r="I41" s="98">
        <v>37133</v>
      </c>
      <c r="J41" s="103">
        <f t="shared" si="25"/>
        <v>8169.26</v>
      </c>
      <c r="K41" s="103">
        <f t="shared" si="26"/>
        <v>45302.26</v>
      </c>
      <c r="L41" s="103">
        <f t="shared" si="27"/>
        <v>48926.440800000004</v>
      </c>
      <c r="M41" s="103">
        <f t="shared" si="28"/>
        <v>52693.776741599999</v>
      </c>
      <c r="N41" s="98">
        <f t="shared" si="5"/>
        <v>6997.739999999998</v>
      </c>
      <c r="O41" s="98">
        <f t="shared" si="6"/>
        <v>7368.6202199999971</v>
      </c>
      <c r="P41" s="98">
        <f t="shared" si="7"/>
        <v>7744.4198512199964</v>
      </c>
      <c r="Q41" s="98"/>
      <c r="R41" s="98">
        <f t="shared" si="8"/>
        <v>0</v>
      </c>
      <c r="S41" s="98">
        <f t="shared" si="9"/>
        <v>0</v>
      </c>
      <c r="T41" s="150">
        <f t="shared" si="10"/>
        <v>56295.061020000001</v>
      </c>
      <c r="U41" s="150">
        <f t="shared" si="11"/>
        <v>60438.196592819993</v>
      </c>
      <c r="V41" s="99">
        <f t="shared" si="29"/>
        <v>0</v>
      </c>
      <c r="W41" s="99">
        <f>W42+W43</f>
        <v>0</v>
      </c>
      <c r="X41" s="171">
        <f t="shared" si="12"/>
        <v>0</v>
      </c>
      <c r="Y41" s="171">
        <f t="shared" si="13"/>
        <v>0</v>
      </c>
      <c r="Z41" s="99"/>
      <c r="AA41" s="99">
        <f>AA42+AA43</f>
        <v>0</v>
      </c>
      <c r="AB41" s="99">
        <f>AB42+AB43</f>
        <v>0</v>
      </c>
      <c r="AC41" s="98">
        <f t="shared" si="14"/>
        <v>0</v>
      </c>
      <c r="AD41" s="98">
        <f t="shared" si="15"/>
        <v>0</v>
      </c>
      <c r="AE41" s="98">
        <f t="shared" si="16"/>
        <v>0</v>
      </c>
      <c r="AF41" s="98">
        <f t="shared" si="17"/>
        <v>0</v>
      </c>
      <c r="AG41" s="98">
        <f t="shared" si="18"/>
        <v>0</v>
      </c>
      <c r="AH41" s="98">
        <f t="shared" si="19"/>
        <v>0</v>
      </c>
      <c r="AI41" s="98">
        <f t="shared" si="20"/>
        <v>0</v>
      </c>
      <c r="AJ41" s="99">
        <f t="shared" ref="AJ41:AJ67" si="30">AB41</f>
        <v>0</v>
      </c>
      <c r="AK41" s="98">
        <f t="shared" si="21"/>
        <v>0</v>
      </c>
      <c r="AL41" s="98">
        <f t="shared" si="22"/>
        <v>0</v>
      </c>
      <c r="AM41" s="150">
        <f t="shared" si="23"/>
        <v>0</v>
      </c>
      <c r="AN41" s="150">
        <f t="shared" si="24"/>
        <v>0</v>
      </c>
      <c r="AO41" s="105">
        <f>AO42+AO43</f>
        <v>0</v>
      </c>
      <c r="AP41" s="102">
        <f t="shared" si="2"/>
        <v>52300</v>
      </c>
    </row>
    <row r="42" spans="1:42" s="234" customFormat="1" ht="31.5" hidden="1" x14ac:dyDescent="0.2">
      <c r="A42" s="224"/>
      <c r="B42" s="225" t="s">
        <v>96</v>
      </c>
      <c r="C42" s="226"/>
      <c r="D42" s="226" t="s">
        <v>97</v>
      </c>
      <c r="E42" s="226" t="s">
        <v>98</v>
      </c>
      <c r="F42" s="227" t="s">
        <v>99</v>
      </c>
      <c r="G42" s="228">
        <f t="shared" si="4"/>
        <v>50000</v>
      </c>
      <c r="H42" s="229">
        <v>50000</v>
      </c>
      <c r="I42" s="229"/>
      <c r="J42" s="230">
        <f t="shared" si="25"/>
        <v>0</v>
      </c>
      <c r="K42" s="230">
        <f t="shared" si="26"/>
        <v>0</v>
      </c>
      <c r="L42" s="230">
        <f t="shared" si="27"/>
        <v>0</v>
      </c>
      <c r="M42" s="230">
        <f t="shared" si="28"/>
        <v>0</v>
      </c>
      <c r="N42" s="229">
        <f t="shared" si="5"/>
        <v>50000</v>
      </c>
      <c r="O42" s="229">
        <f t="shared" si="6"/>
        <v>52650</v>
      </c>
      <c r="P42" s="229">
        <f t="shared" si="7"/>
        <v>55335.149999999994</v>
      </c>
      <c r="Q42" s="229">
        <f>I41-37133</f>
        <v>0</v>
      </c>
      <c r="R42" s="229">
        <f t="shared" si="8"/>
        <v>0</v>
      </c>
      <c r="S42" s="229">
        <f t="shared" si="9"/>
        <v>0</v>
      </c>
      <c r="T42" s="229">
        <f t="shared" si="10"/>
        <v>52650</v>
      </c>
      <c r="U42" s="229">
        <f t="shared" si="11"/>
        <v>55335.149999999994</v>
      </c>
      <c r="V42" s="231">
        <f t="shared" si="29"/>
        <v>0</v>
      </c>
      <c r="W42" s="232"/>
      <c r="X42" s="229">
        <f t="shared" si="12"/>
        <v>0</v>
      </c>
      <c r="Y42" s="229">
        <f t="shared" si="13"/>
        <v>0</v>
      </c>
      <c r="Z42" s="232"/>
      <c r="AA42" s="232"/>
      <c r="AB42" s="232"/>
      <c r="AC42" s="229">
        <f t="shared" si="14"/>
        <v>0</v>
      </c>
      <c r="AD42" s="229">
        <f t="shared" si="15"/>
        <v>0</v>
      </c>
      <c r="AE42" s="229">
        <f t="shared" si="16"/>
        <v>0</v>
      </c>
      <c r="AF42" s="229">
        <f t="shared" si="17"/>
        <v>0</v>
      </c>
      <c r="AG42" s="229">
        <f t="shared" si="18"/>
        <v>0</v>
      </c>
      <c r="AH42" s="229">
        <f t="shared" si="19"/>
        <v>0</v>
      </c>
      <c r="AI42" s="229">
        <f t="shared" si="20"/>
        <v>0</v>
      </c>
      <c r="AJ42" s="232"/>
      <c r="AK42" s="229">
        <f t="shared" si="21"/>
        <v>0</v>
      </c>
      <c r="AL42" s="229">
        <f t="shared" si="22"/>
        <v>0</v>
      </c>
      <c r="AM42" s="229">
        <f t="shared" si="23"/>
        <v>0</v>
      </c>
      <c r="AN42" s="229">
        <f t="shared" si="24"/>
        <v>0</v>
      </c>
      <c r="AO42" s="232"/>
      <c r="AP42" s="233">
        <f t="shared" si="2"/>
        <v>50000</v>
      </c>
    </row>
    <row r="43" spans="1:42" s="234" customFormat="1" ht="31.5" hidden="1" x14ac:dyDescent="0.2">
      <c r="A43" s="224"/>
      <c r="B43" s="225" t="s">
        <v>100</v>
      </c>
      <c r="C43" s="226"/>
      <c r="D43" s="226" t="s">
        <v>101</v>
      </c>
      <c r="E43" s="226" t="s">
        <v>98</v>
      </c>
      <c r="F43" s="227" t="s">
        <v>102</v>
      </c>
      <c r="G43" s="228">
        <f t="shared" si="4"/>
        <v>565000</v>
      </c>
      <c r="H43" s="229">
        <v>565000</v>
      </c>
      <c r="I43" s="229"/>
      <c r="J43" s="230">
        <f t="shared" si="25"/>
        <v>0</v>
      </c>
      <c r="K43" s="230">
        <f t="shared" si="26"/>
        <v>0</v>
      </c>
      <c r="L43" s="230">
        <f t="shared" si="27"/>
        <v>0</v>
      </c>
      <c r="M43" s="230">
        <f t="shared" si="28"/>
        <v>0</v>
      </c>
      <c r="N43" s="229">
        <f t="shared" si="5"/>
        <v>500000</v>
      </c>
      <c r="O43" s="229">
        <f t="shared" si="6"/>
        <v>526500</v>
      </c>
      <c r="P43" s="229">
        <f t="shared" si="7"/>
        <v>553351.5</v>
      </c>
      <c r="Q43" s="229">
        <v>65000</v>
      </c>
      <c r="R43" s="229">
        <f t="shared" si="8"/>
        <v>70200</v>
      </c>
      <c r="S43" s="229">
        <f t="shared" si="9"/>
        <v>74482.2</v>
      </c>
      <c r="T43" s="229">
        <f t="shared" si="10"/>
        <v>596700</v>
      </c>
      <c r="U43" s="229">
        <f t="shared" si="11"/>
        <v>627833.69999999995</v>
      </c>
      <c r="V43" s="231">
        <f t="shared" si="29"/>
        <v>0</v>
      </c>
      <c r="W43" s="232"/>
      <c r="X43" s="229">
        <f t="shared" si="12"/>
        <v>0</v>
      </c>
      <c r="Y43" s="229">
        <f t="shared" si="13"/>
        <v>0</v>
      </c>
      <c r="Z43" s="232"/>
      <c r="AA43" s="232"/>
      <c r="AB43" s="232"/>
      <c r="AC43" s="229">
        <f t="shared" si="14"/>
        <v>0</v>
      </c>
      <c r="AD43" s="229">
        <f t="shared" si="15"/>
        <v>0</v>
      </c>
      <c r="AE43" s="229">
        <f t="shared" si="16"/>
        <v>0</v>
      </c>
      <c r="AF43" s="229">
        <f t="shared" si="17"/>
        <v>0</v>
      </c>
      <c r="AG43" s="229">
        <f t="shared" si="18"/>
        <v>0</v>
      </c>
      <c r="AH43" s="229">
        <f t="shared" si="19"/>
        <v>0</v>
      </c>
      <c r="AI43" s="229">
        <f t="shared" si="20"/>
        <v>0</v>
      </c>
      <c r="AJ43" s="232"/>
      <c r="AK43" s="229">
        <f t="shared" si="21"/>
        <v>0</v>
      </c>
      <c r="AL43" s="229">
        <f t="shared" si="22"/>
        <v>0</v>
      </c>
      <c r="AM43" s="229">
        <f t="shared" si="23"/>
        <v>0</v>
      </c>
      <c r="AN43" s="229">
        <f t="shared" si="24"/>
        <v>0</v>
      </c>
      <c r="AO43" s="232"/>
      <c r="AP43" s="233">
        <f t="shared" si="2"/>
        <v>565000</v>
      </c>
    </row>
    <row r="44" spans="1:42" s="234" customFormat="1" ht="15.75" hidden="1" x14ac:dyDescent="0.2">
      <c r="A44" s="224"/>
      <c r="B44" s="225" t="s">
        <v>103</v>
      </c>
      <c r="C44" s="226"/>
      <c r="D44" s="226" t="s">
        <v>104</v>
      </c>
      <c r="E44" s="226" t="s">
        <v>98</v>
      </c>
      <c r="F44" s="227" t="s">
        <v>105</v>
      </c>
      <c r="G44" s="228">
        <f t="shared" si="4"/>
        <v>2726587</v>
      </c>
      <c r="H44" s="229">
        <f>2708200+67384-130197+81200</f>
        <v>2726587</v>
      </c>
      <c r="I44" s="229"/>
      <c r="J44" s="230">
        <f t="shared" si="25"/>
        <v>0</v>
      </c>
      <c r="K44" s="230">
        <f t="shared" si="26"/>
        <v>0</v>
      </c>
      <c r="L44" s="230">
        <f t="shared" si="27"/>
        <v>0</v>
      </c>
      <c r="M44" s="230">
        <f t="shared" si="28"/>
        <v>0</v>
      </c>
      <c r="N44" s="229">
        <f t="shared" si="5"/>
        <v>1926587</v>
      </c>
      <c r="O44" s="229">
        <f t="shared" si="6"/>
        <v>2028696.1109999998</v>
      </c>
      <c r="P44" s="229">
        <f t="shared" si="7"/>
        <v>2132159.6126609999</v>
      </c>
      <c r="Q44" s="229">
        <v>800000</v>
      </c>
      <c r="R44" s="229">
        <f t="shared" si="8"/>
        <v>864000</v>
      </c>
      <c r="S44" s="229">
        <f t="shared" si="9"/>
        <v>916704</v>
      </c>
      <c r="T44" s="229">
        <f t="shared" si="10"/>
        <v>2892696.1109999996</v>
      </c>
      <c r="U44" s="229">
        <f t="shared" si="11"/>
        <v>3048863.6126609999</v>
      </c>
      <c r="V44" s="235">
        <f t="shared" si="29"/>
        <v>500000</v>
      </c>
      <c r="W44" s="230">
        <v>500000</v>
      </c>
      <c r="X44" s="229">
        <f t="shared" si="12"/>
        <v>526500</v>
      </c>
      <c r="Y44" s="229">
        <f t="shared" si="13"/>
        <v>553351.5</v>
      </c>
      <c r="Z44" s="230">
        <v>500000</v>
      </c>
      <c r="AA44" s="230"/>
      <c r="AB44" s="230"/>
      <c r="AC44" s="229">
        <f t="shared" si="14"/>
        <v>0</v>
      </c>
      <c r="AD44" s="229">
        <f t="shared" si="15"/>
        <v>0</v>
      </c>
      <c r="AE44" s="229">
        <f t="shared" si="16"/>
        <v>0</v>
      </c>
      <c r="AF44" s="229">
        <f t="shared" si="17"/>
        <v>0</v>
      </c>
      <c r="AG44" s="229">
        <f t="shared" si="18"/>
        <v>500000</v>
      </c>
      <c r="AH44" s="229">
        <f t="shared" si="19"/>
        <v>526500</v>
      </c>
      <c r="AI44" s="229">
        <f t="shared" si="20"/>
        <v>553351.5</v>
      </c>
      <c r="AJ44" s="230"/>
      <c r="AK44" s="229">
        <f t="shared" si="21"/>
        <v>0</v>
      </c>
      <c r="AL44" s="229">
        <f t="shared" si="22"/>
        <v>0</v>
      </c>
      <c r="AM44" s="229">
        <f t="shared" si="23"/>
        <v>526500</v>
      </c>
      <c r="AN44" s="229">
        <f t="shared" si="24"/>
        <v>553351.5</v>
      </c>
      <c r="AO44" s="230">
        <v>500000</v>
      </c>
      <c r="AP44" s="233">
        <f t="shared" si="2"/>
        <v>3226587</v>
      </c>
    </row>
    <row r="45" spans="1:42" s="234" customFormat="1" ht="15.75" hidden="1" x14ac:dyDescent="0.2">
      <c r="A45" s="224"/>
      <c r="B45" s="225"/>
      <c r="C45" s="226"/>
      <c r="D45" s="226"/>
      <c r="E45" s="236"/>
      <c r="F45" s="227"/>
      <c r="G45" s="228">
        <f t="shared" si="4"/>
        <v>0</v>
      </c>
      <c r="H45" s="228"/>
      <c r="I45" s="229"/>
      <c r="J45" s="230">
        <f t="shared" si="25"/>
        <v>0</v>
      </c>
      <c r="K45" s="230">
        <f t="shared" si="26"/>
        <v>0</v>
      </c>
      <c r="L45" s="230">
        <f t="shared" si="27"/>
        <v>0</v>
      </c>
      <c r="M45" s="230">
        <f t="shared" si="28"/>
        <v>0</v>
      </c>
      <c r="N45" s="229">
        <f t="shared" si="5"/>
        <v>0</v>
      </c>
      <c r="O45" s="229">
        <f t="shared" si="6"/>
        <v>0</v>
      </c>
      <c r="P45" s="229">
        <f t="shared" si="7"/>
        <v>0</v>
      </c>
      <c r="Q45" s="229"/>
      <c r="R45" s="229">
        <f t="shared" si="8"/>
        <v>0</v>
      </c>
      <c r="S45" s="229">
        <f t="shared" si="9"/>
        <v>0</v>
      </c>
      <c r="T45" s="229">
        <f t="shared" si="10"/>
        <v>0</v>
      </c>
      <c r="U45" s="229">
        <f t="shared" si="11"/>
        <v>0</v>
      </c>
      <c r="V45" s="231">
        <f t="shared" si="29"/>
        <v>0</v>
      </c>
      <c r="W45" s="232"/>
      <c r="X45" s="229">
        <f t="shared" si="12"/>
        <v>0</v>
      </c>
      <c r="Y45" s="229">
        <f t="shared" si="13"/>
        <v>0</v>
      </c>
      <c r="Z45" s="232"/>
      <c r="AA45" s="232"/>
      <c r="AB45" s="232"/>
      <c r="AC45" s="229">
        <f t="shared" si="14"/>
        <v>0</v>
      </c>
      <c r="AD45" s="229">
        <f t="shared" si="15"/>
        <v>0</v>
      </c>
      <c r="AE45" s="229">
        <f t="shared" si="16"/>
        <v>0</v>
      </c>
      <c r="AF45" s="229">
        <f t="shared" si="17"/>
        <v>0</v>
      </c>
      <c r="AG45" s="229">
        <f t="shared" si="18"/>
        <v>0</v>
      </c>
      <c r="AH45" s="229">
        <f t="shared" si="19"/>
        <v>0</v>
      </c>
      <c r="AI45" s="229">
        <f t="shared" si="20"/>
        <v>0</v>
      </c>
      <c r="AJ45" s="232"/>
      <c r="AK45" s="229">
        <f t="shared" si="21"/>
        <v>0</v>
      </c>
      <c r="AL45" s="229">
        <f t="shared" si="22"/>
        <v>0</v>
      </c>
      <c r="AM45" s="229">
        <f t="shared" si="23"/>
        <v>0</v>
      </c>
      <c r="AN45" s="229">
        <f t="shared" si="24"/>
        <v>0</v>
      </c>
      <c r="AO45" s="232"/>
      <c r="AP45" s="233">
        <f t="shared" si="2"/>
        <v>0</v>
      </c>
    </row>
    <row r="46" spans="1:42" s="234" customFormat="1" ht="110.25" hidden="1" x14ac:dyDescent="0.2">
      <c r="A46" s="224"/>
      <c r="B46" s="225" t="s">
        <v>106</v>
      </c>
      <c r="C46" s="226"/>
      <c r="D46" s="226" t="s">
        <v>107</v>
      </c>
      <c r="E46" s="226" t="s">
        <v>108</v>
      </c>
      <c r="F46" s="227" t="s">
        <v>109</v>
      </c>
      <c r="G46" s="228">
        <f t="shared" si="4"/>
        <v>0</v>
      </c>
      <c r="H46" s="229"/>
      <c r="I46" s="229"/>
      <c r="J46" s="230">
        <f t="shared" si="25"/>
        <v>0</v>
      </c>
      <c r="K46" s="230">
        <f t="shared" si="26"/>
        <v>0</v>
      </c>
      <c r="L46" s="230">
        <f t="shared" si="27"/>
        <v>0</v>
      </c>
      <c r="M46" s="230">
        <f t="shared" si="28"/>
        <v>0</v>
      </c>
      <c r="N46" s="229">
        <f t="shared" si="5"/>
        <v>0</v>
      </c>
      <c r="O46" s="229">
        <f t="shared" si="6"/>
        <v>0</v>
      </c>
      <c r="P46" s="229">
        <f t="shared" si="7"/>
        <v>0</v>
      </c>
      <c r="Q46" s="229"/>
      <c r="R46" s="229">
        <f t="shared" si="8"/>
        <v>0</v>
      </c>
      <c r="S46" s="229">
        <f t="shared" si="9"/>
        <v>0</v>
      </c>
      <c r="T46" s="229">
        <f t="shared" si="10"/>
        <v>0</v>
      </c>
      <c r="U46" s="229">
        <f t="shared" si="11"/>
        <v>0</v>
      </c>
      <c r="V46" s="231">
        <f t="shared" si="29"/>
        <v>0</v>
      </c>
      <c r="W46" s="232"/>
      <c r="X46" s="229">
        <f t="shared" si="12"/>
        <v>0</v>
      </c>
      <c r="Y46" s="229">
        <f t="shared" si="13"/>
        <v>0</v>
      </c>
      <c r="Z46" s="232"/>
      <c r="AA46" s="232"/>
      <c r="AB46" s="232"/>
      <c r="AC46" s="229">
        <f t="shared" si="14"/>
        <v>0</v>
      </c>
      <c r="AD46" s="229">
        <f t="shared" si="15"/>
        <v>0</v>
      </c>
      <c r="AE46" s="229">
        <f t="shared" si="16"/>
        <v>0</v>
      </c>
      <c r="AF46" s="229">
        <f t="shared" si="17"/>
        <v>0</v>
      </c>
      <c r="AG46" s="229">
        <f t="shared" si="18"/>
        <v>0</v>
      </c>
      <c r="AH46" s="229">
        <f t="shared" si="19"/>
        <v>0</v>
      </c>
      <c r="AI46" s="229">
        <f t="shared" si="20"/>
        <v>0</v>
      </c>
      <c r="AJ46" s="232"/>
      <c r="AK46" s="229">
        <f t="shared" si="21"/>
        <v>0</v>
      </c>
      <c r="AL46" s="229">
        <f t="shared" si="22"/>
        <v>0</v>
      </c>
      <c r="AM46" s="229">
        <f t="shared" si="23"/>
        <v>0</v>
      </c>
      <c r="AN46" s="229">
        <f t="shared" si="24"/>
        <v>0</v>
      </c>
      <c r="AO46" s="232"/>
      <c r="AP46" s="233">
        <f t="shared" si="2"/>
        <v>0</v>
      </c>
    </row>
    <row r="47" spans="1:42" s="234" customFormat="1" ht="31.5" hidden="1" x14ac:dyDescent="0.2">
      <c r="A47" s="224"/>
      <c r="B47" s="225" t="s">
        <v>110</v>
      </c>
      <c r="C47" s="226"/>
      <c r="D47" s="226" t="s">
        <v>111</v>
      </c>
      <c r="E47" s="226" t="s">
        <v>108</v>
      </c>
      <c r="F47" s="227" t="s">
        <v>112</v>
      </c>
      <c r="G47" s="228">
        <f t="shared" si="4"/>
        <v>489464</v>
      </c>
      <c r="H47" s="229">
        <v>489464</v>
      </c>
      <c r="I47" s="229">
        <v>360380</v>
      </c>
      <c r="J47" s="230">
        <f t="shared" si="25"/>
        <v>79283.600000000006</v>
      </c>
      <c r="K47" s="230">
        <f t="shared" si="26"/>
        <v>439663.6</v>
      </c>
      <c r="L47" s="230">
        <f t="shared" si="27"/>
        <v>474836.68800000002</v>
      </c>
      <c r="M47" s="230">
        <f t="shared" si="28"/>
        <v>511399.112976</v>
      </c>
      <c r="N47" s="229">
        <f t="shared" si="5"/>
        <v>49800.400000000023</v>
      </c>
      <c r="O47" s="229">
        <f t="shared" si="6"/>
        <v>52439.82120000002</v>
      </c>
      <c r="P47" s="229">
        <f t="shared" si="7"/>
        <v>55114.252081200015</v>
      </c>
      <c r="Q47" s="229"/>
      <c r="R47" s="229">
        <f t="shared" si="8"/>
        <v>0</v>
      </c>
      <c r="S47" s="229">
        <f t="shared" si="9"/>
        <v>0</v>
      </c>
      <c r="T47" s="229">
        <f t="shared" si="10"/>
        <v>527276.50920000009</v>
      </c>
      <c r="U47" s="229">
        <f t="shared" si="11"/>
        <v>566513.36505719996</v>
      </c>
      <c r="V47" s="231">
        <f t="shared" si="29"/>
        <v>0</v>
      </c>
      <c r="W47" s="232"/>
      <c r="X47" s="229">
        <f t="shared" si="12"/>
        <v>0</v>
      </c>
      <c r="Y47" s="229">
        <f t="shared" si="13"/>
        <v>0</v>
      </c>
      <c r="Z47" s="232"/>
      <c r="AA47" s="232"/>
      <c r="AB47" s="232"/>
      <c r="AC47" s="229">
        <f t="shared" si="14"/>
        <v>0</v>
      </c>
      <c r="AD47" s="229">
        <f t="shared" si="15"/>
        <v>0</v>
      </c>
      <c r="AE47" s="229">
        <f t="shared" si="16"/>
        <v>0</v>
      </c>
      <c r="AF47" s="229">
        <f t="shared" si="17"/>
        <v>0</v>
      </c>
      <c r="AG47" s="229">
        <f t="shared" si="18"/>
        <v>0</v>
      </c>
      <c r="AH47" s="229">
        <f t="shared" si="19"/>
        <v>0</v>
      </c>
      <c r="AI47" s="229">
        <f t="shared" si="20"/>
        <v>0</v>
      </c>
      <c r="AJ47" s="232"/>
      <c r="AK47" s="229">
        <f t="shared" si="21"/>
        <v>0</v>
      </c>
      <c r="AL47" s="229">
        <f t="shared" si="22"/>
        <v>0</v>
      </c>
      <c r="AM47" s="229">
        <f t="shared" si="23"/>
        <v>0</v>
      </c>
      <c r="AN47" s="229">
        <f t="shared" si="24"/>
        <v>0</v>
      </c>
      <c r="AO47" s="232"/>
      <c r="AP47" s="233">
        <f t="shared" si="2"/>
        <v>489464</v>
      </c>
    </row>
    <row r="48" spans="1:42" s="204" customFormat="1" ht="15.75" hidden="1" x14ac:dyDescent="0.2">
      <c r="A48" s="196"/>
      <c r="B48" s="208" t="s">
        <v>113</v>
      </c>
      <c r="C48" s="199"/>
      <c r="D48" s="199" t="s">
        <v>114</v>
      </c>
      <c r="E48" s="199" t="s">
        <v>115</v>
      </c>
      <c r="F48" s="200" t="s">
        <v>116</v>
      </c>
      <c r="G48" s="169">
        <f t="shared" si="4"/>
        <v>20000</v>
      </c>
      <c r="H48" s="171">
        <v>20000</v>
      </c>
      <c r="I48" s="171"/>
      <c r="J48" s="201">
        <f t="shared" si="25"/>
        <v>0</v>
      </c>
      <c r="K48" s="201">
        <f t="shared" si="26"/>
        <v>0</v>
      </c>
      <c r="L48" s="201">
        <f t="shared" si="27"/>
        <v>0</v>
      </c>
      <c r="M48" s="201">
        <f t="shared" si="28"/>
        <v>0</v>
      </c>
      <c r="N48" s="171">
        <f t="shared" si="5"/>
        <v>20000</v>
      </c>
      <c r="O48" s="171">
        <f t="shared" si="6"/>
        <v>21060</v>
      </c>
      <c r="P48" s="171">
        <f t="shared" si="7"/>
        <v>22134.059999999998</v>
      </c>
      <c r="Q48" s="171"/>
      <c r="R48" s="171">
        <f t="shared" si="8"/>
        <v>0</v>
      </c>
      <c r="S48" s="171">
        <f t="shared" si="9"/>
        <v>0</v>
      </c>
      <c r="T48" s="171">
        <f t="shared" si="10"/>
        <v>21060</v>
      </c>
      <c r="U48" s="171">
        <f t="shared" si="11"/>
        <v>22134.059999999998</v>
      </c>
      <c r="V48" s="202">
        <f t="shared" si="29"/>
        <v>100000</v>
      </c>
      <c r="W48" s="201">
        <v>100000</v>
      </c>
      <c r="X48" s="171">
        <f t="shared" si="12"/>
        <v>105300</v>
      </c>
      <c r="Y48" s="171">
        <f t="shared" si="13"/>
        <v>110670.29999999999</v>
      </c>
      <c r="Z48" s="201"/>
      <c r="AA48" s="201"/>
      <c r="AB48" s="201"/>
      <c r="AC48" s="171">
        <f t="shared" si="14"/>
        <v>0</v>
      </c>
      <c r="AD48" s="171">
        <f t="shared" si="15"/>
        <v>0</v>
      </c>
      <c r="AE48" s="171">
        <f t="shared" si="16"/>
        <v>0</v>
      </c>
      <c r="AF48" s="171">
        <f t="shared" si="17"/>
        <v>0</v>
      </c>
      <c r="AG48" s="171">
        <f t="shared" si="18"/>
        <v>100000</v>
      </c>
      <c r="AH48" s="171">
        <f t="shared" si="19"/>
        <v>105300</v>
      </c>
      <c r="AI48" s="171">
        <f t="shared" si="20"/>
        <v>110670.29999999999</v>
      </c>
      <c r="AJ48" s="201"/>
      <c r="AK48" s="171">
        <f t="shared" si="21"/>
        <v>0</v>
      </c>
      <c r="AL48" s="171">
        <f t="shared" si="22"/>
        <v>0</v>
      </c>
      <c r="AM48" s="171">
        <f t="shared" si="23"/>
        <v>105300</v>
      </c>
      <c r="AN48" s="171">
        <f t="shared" si="24"/>
        <v>110670.29999999999</v>
      </c>
      <c r="AO48" s="201">
        <v>100000</v>
      </c>
      <c r="AP48" s="203">
        <f t="shared" si="2"/>
        <v>120000</v>
      </c>
    </row>
    <row r="49" spans="1:42" s="204" customFormat="1" ht="31.5" hidden="1" x14ac:dyDescent="0.2">
      <c r="A49" s="196"/>
      <c r="B49" s="208" t="s">
        <v>117</v>
      </c>
      <c r="C49" s="199"/>
      <c r="D49" s="199" t="s">
        <v>118</v>
      </c>
      <c r="E49" s="199" t="s">
        <v>119</v>
      </c>
      <c r="F49" s="200" t="s">
        <v>246</v>
      </c>
      <c r="G49" s="169">
        <f t="shared" si="4"/>
        <v>0</v>
      </c>
      <c r="H49" s="171"/>
      <c r="I49" s="171"/>
      <c r="J49" s="201">
        <f t="shared" si="25"/>
        <v>0</v>
      </c>
      <c r="K49" s="201">
        <f t="shared" si="26"/>
        <v>0</v>
      </c>
      <c r="L49" s="201">
        <f t="shared" si="27"/>
        <v>0</v>
      </c>
      <c r="M49" s="201">
        <f t="shared" si="28"/>
        <v>0</v>
      </c>
      <c r="N49" s="171">
        <f t="shared" si="5"/>
        <v>0</v>
      </c>
      <c r="O49" s="171">
        <f t="shared" si="6"/>
        <v>0</v>
      </c>
      <c r="P49" s="171">
        <f t="shared" si="7"/>
        <v>0</v>
      </c>
      <c r="Q49" s="171"/>
      <c r="R49" s="171">
        <f t="shared" si="8"/>
        <v>0</v>
      </c>
      <c r="S49" s="171">
        <f t="shared" si="9"/>
        <v>0</v>
      </c>
      <c r="T49" s="171">
        <f t="shared" si="10"/>
        <v>0</v>
      </c>
      <c r="U49" s="171">
        <f t="shared" si="11"/>
        <v>0</v>
      </c>
      <c r="V49" s="202">
        <f>AA49+W49</f>
        <v>1600000</v>
      </c>
      <c r="W49" s="201">
        <f>1600000</f>
        <v>1600000</v>
      </c>
      <c r="X49" s="171">
        <f t="shared" si="12"/>
        <v>1684800</v>
      </c>
      <c r="Y49" s="171">
        <f t="shared" si="13"/>
        <v>1770724.7999999998</v>
      </c>
      <c r="Z49" s="201">
        <f>1600000</f>
        <v>1600000</v>
      </c>
      <c r="AA49" s="201"/>
      <c r="AB49" s="201"/>
      <c r="AC49" s="171">
        <f t="shared" si="14"/>
        <v>0</v>
      </c>
      <c r="AD49" s="171">
        <f t="shared" si="15"/>
        <v>0</v>
      </c>
      <c r="AE49" s="171">
        <f t="shared" si="16"/>
        <v>0</v>
      </c>
      <c r="AF49" s="171">
        <f t="shared" si="17"/>
        <v>0</v>
      </c>
      <c r="AG49" s="171">
        <f t="shared" si="18"/>
        <v>1600000</v>
      </c>
      <c r="AH49" s="171">
        <f t="shared" si="19"/>
        <v>1684800</v>
      </c>
      <c r="AI49" s="171">
        <f t="shared" si="20"/>
        <v>1770724.7999999998</v>
      </c>
      <c r="AJ49" s="201"/>
      <c r="AK49" s="171">
        <f t="shared" si="21"/>
        <v>0</v>
      </c>
      <c r="AL49" s="171">
        <f t="shared" si="22"/>
        <v>0</v>
      </c>
      <c r="AM49" s="171">
        <f t="shared" si="23"/>
        <v>1684800</v>
      </c>
      <c r="AN49" s="171">
        <f t="shared" si="24"/>
        <v>1770724.7999999998</v>
      </c>
      <c r="AO49" s="201">
        <f>1600000</f>
        <v>1600000</v>
      </c>
      <c r="AP49" s="203">
        <f t="shared" si="2"/>
        <v>1600000</v>
      </c>
    </row>
    <row r="50" spans="1:42" s="204" customFormat="1" ht="31.5" hidden="1" x14ac:dyDescent="0.2">
      <c r="A50" s="196"/>
      <c r="B50" s="208" t="s">
        <v>121</v>
      </c>
      <c r="C50" s="199"/>
      <c r="D50" s="199" t="s">
        <v>122</v>
      </c>
      <c r="E50" s="199" t="s">
        <v>119</v>
      </c>
      <c r="F50" s="200" t="s">
        <v>123</v>
      </c>
      <c r="G50" s="169">
        <f t="shared" si="4"/>
        <v>0</v>
      </c>
      <c r="H50" s="171"/>
      <c r="I50" s="171"/>
      <c r="J50" s="201">
        <f t="shared" si="25"/>
        <v>0</v>
      </c>
      <c r="K50" s="201">
        <f t="shared" si="26"/>
        <v>0</v>
      </c>
      <c r="L50" s="201">
        <f t="shared" si="27"/>
        <v>0</v>
      </c>
      <c r="M50" s="201">
        <f t="shared" si="28"/>
        <v>0</v>
      </c>
      <c r="N50" s="171">
        <f t="shared" si="5"/>
        <v>0</v>
      </c>
      <c r="O50" s="171">
        <f t="shared" si="6"/>
        <v>0</v>
      </c>
      <c r="P50" s="171">
        <f t="shared" si="7"/>
        <v>0</v>
      </c>
      <c r="Q50" s="171"/>
      <c r="R50" s="171">
        <f t="shared" si="8"/>
        <v>0</v>
      </c>
      <c r="S50" s="171">
        <f t="shared" si="9"/>
        <v>0</v>
      </c>
      <c r="T50" s="171">
        <f t="shared" si="10"/>
        <v>0</v>
      </c>
      <c r="U50" s="171">
        <f t="shared" si="11"/>
        <v>0</v>
      </c>
      <c r="V50" s="170">
        <f>AA50+W50</f>
        <v>0</v>
      </c>
      <c r="W50" s="177"/>
      <c r="X50" s="171">
        <f t="shared" si="12"/>
        <v>0</v>
      </c>
      <c r="Y50" s="171">
        <f t="shared" si="13"/>
        <v>0</v>
      </c>
      <c r="Z50" s="177"/>
      <c r="AA50" s="177"/>
      <c r="AB50" s="177"/>
      <c r="AC50" s="171">
        <f t="shared" si="14"/>
        <v>0</v>
      </c>
      <c r="AD50" s="171">
        <f t="shared" si="15"/>
        <v>0</v>
      </c>
      <c r="AE50" s="171">
        <f t="shared" si="16"/>
        <v>0</v>
      </c>
      <c r="AF50" s="171">
        <f t="shared" si="17"/>
        <v>0</v>
      </c>
      <c r="AG50" s="171">
        <f t="shared" si="18"/>
        <v>0</v>
      </c>
      <c r="AH50" s="171">
        <f t="shared" si="19"/>
        <v>0</v>
      </c>
      <c r="AI50" s="171">
        <f t="shared" si="20"/>
        <v>0</v>
      </c>
      <c r="AJ50" s="177"/>
      <c r="AK50" s="171">
        <f t="shared" si="21"/>
        <v>0</v>
      </c>
      <c r="AL50" s="171">
        <f t="shared" si="22"/>
        <v>0</v>
      </c>
      <c r="AM50" s="171">
        <f t="shared" si="23"/>
        <v>0</v>
      </c>
      <c r="AN50" s="171">
        <f t="shared" si="24"/>
        <v>0</v>
      </c>
      <c r="AO50" s="177"/>
      <c r="AP50" s="203">
        <f t="shared" si="2"/>
        <v>0</v>
      </c>
    </row>
    <row r="51" spans="1:42" s="204" customFormat="1" ht="47.25" hidden="1" x14ac:dyDescent="0.2">
      <c r="A51" s="196"/>
      <c r="B51" s="208" t="s">
        <v>124</v>
      </c>
      <c r="C51" s="199"/>
      <c r="D51" s="199" t="s">
        <v>125</v>
      </c>
      <c r="E51" s="199" t="s">
        <v>126</v>
      </c>
      <c r="F51" s="200" t="s">
        <v>127</v>
      </c>
      <c r="G51" s="169">
        <f t="shared" si="4"/>
        <v>800000</v>
      </c>
      <c r="H51" s="171">
        <f>800000</f>
        <v>800000</v>
      </c>
      <c r="I51" s="171"/>
      <c r="J51" s="201">
        <f t="shared" si="25"/>
        <v>0</v>
      </c>
      <c r="K51" s="201">
        <f t="shared" si="26"/>
        <v>0</v>
      </c>
      <c r="L51" s="201">
        <f t="shared" si="27"/>
        <v>0</v>
      </c>
      <c r="M51" s="201">
        <f t="shared" si="28"/>
        <v>0</v>
      </c>
      <c r="N51" s="171">
        <f t="shared" si="5"/>
        <v>800000</v>
      </c>
      <c r="O51" s="171">
        <f t="shared" si="6"/>
        <v>842400</v>
      </c>
      <c r="P51" s="171">
        <f t="shared" si="7"/>
        <v>885362.39999999991</v>
      </c>
      <c r="Q51" s="171"/>
      <c r="R51" s="171">
        <f t="shared" si="8"/>
        <v>0</v>
      </c>
      <c r="S51" s="171">
        <f t="shared" si="9"/>
        <v>0</v>
      </c>
      <c r="T51" s="171">
        <f t="shared" si="10"/>
        <v>842400</v>
      </c>
      <c r="U51" s="171">
        <f t="shared" si="11"/>
        <v>885362.39999999991</v>
      </c>
      <c r="V51" s="170">
        <f t="shared" si="29"/>
        <v>0</v>
      </c>
      <c r="W51" s="177"/>
      <c r="X51" s="171">
        <f t="shared" si="12"/>
        <v>0</v>
      </c>
      <c r="Y51" s="171">
        <f t="shared" si="13"/>
        <v>0</v>
      </c>
      <c r="Z51" s="177"/>
      <c r="AA51" s="177"/>
      <c r="AB51" s="177"/>
      <c r="AC51" s="171">
        <f t="shared" si="14"/>
        <v>0</v>
      </c>
      <c r="AD51" s="171">
        <f t="shared" si="15"/>
        <v>0</v>
      </c>
      <c r="AE51" s="171">
        <f t="shared" si="16"/>
        <v>0</v>
      </c>
      <c r="AF51" s="171">
        <f t="shared" si="17"/>
        <v>0</v>
      </c>
      <c r="AG51" s="171">
        <f t="shared" si="18"/>
        <v>0</v>
      </c>
      <c r="AH51" s="171">
        <f t="shared" si="19"/>
        <v>0</v>
      </c>
      <c r="AI51" s="171">
        <f t="shared" si="20"/>
        <v>0</v>
      </c>
      <c r="AJ51" s="177"/>
      <c r="AK51" s="171">
        <f t="shared" si="21"/>
        <v>0</v>
      </c>
      <c r="AL51" s="171">
        <f t="shared" si="22"/>
        <v>0</v>
      </c>
      <c r="AM51" s="171">
        <f t="shared" si="23"/>
        <v>0</v>
      </c>
      <c r="AN51" s="171">
        <f t="shared" si="24"/>
        <v>0</v>
      </c>
      <c r="AO51" s="177"/>
      <c r="AP51" s="203">
        <f t="shared" si="2"/>
        <v>800000</v>
      </c>
    </row>
    <row r="52" spans="1:42" s="204" customFormat="1" ht="31.5" hidden="1" x14ac:dyDescent="0.2">
      <c r="A52" s="196"/>
      <c r="B52" s="208" t="s">
        <v>128</v>
      </c>
      <c r="C52" s="199"/>
      <c r="D52" s="199" t="s">
        <v>129</v>
      </c>
      <c r="E52" s="199" t="s">
        <v>130</v>
      </c>
      <c r="F52" s="200" t="s">
        <v>131</v>
      </c>
      <c r="G52" s="169">
        <f t="shared" si="4"/>
        <v>2000</v>
      </c>
      <c r="H52" s="171">
        <v>2000</v>
      </c>
      <c r="I52" s="171"/>
      <c r="J52" s="201">
        <f t="shared" si="25"/>
        <v>0</v>
      </c>
      <c r="K52" s="201">
        <f t="shared" si="26"/>
        <v>0</v>
      </c>
      <c r="L52" s="201">
        <f t="shared" si="27"/>
        <v>0</v>
      </c>
      <c r="M52" s="201">
        <f t="shared" si="28"/>
        <v>0</v>
      </c>
      <c r="N52" s="171">
        <f t="shared" si="5"/>
        <v>2000</v>
      </c>
      <c r="O52" s="171">
        <f t="shared" si="6"/>
        <v>2106</v>
      </c>
      <c r="P52" s="171">
        <f t="shared" si="7"/>
        <v>2213.4059999999999</v>
      </c>
      <c r="Q52" s="171"/>
      <c r="R52" s="171">
        <f t="shared" si="8"/>
        <v>0</v>
      </c>
      <c r="S52" s="171">
        <f t="shared" si="9"/>
        <v>0</v>
      </c>
      <c r="T52" s="171">
        <f t="shared" si="10"/>
        <v>2106</v>
      </c>
      <c r="U52" s="171">
        <f t="shared" si="11"/>
        <v>2213.4059999999999</v>
      </c>
      <c r="V52" s="170">
        <f t="shared" si="29"/>
        <v>0</v>
      </c>
      <c r="W52" s="177"/>
      <c r="X52" s="171">
        <f t="shared" si="12"/>
        <v>0</v>
      </c>
      <c r="Y52" s="171">
        <f t="shared" si="13"/>
        <v>0</v>
      </c>
      <c r="Z52" s="177"/>
      <c r="AA52" s="177"/>
      <c r="AB52" s="177"/>
      <c r="AC52" s="171">
        <f t="shared" si="14"/>
        <v>0</v>
      </c>
      <c r="AD52" s="171">
        <f t="shared" si="15"/>
        <v>0</v>
      </c>
      <c r="AE52" s="171">
        <f t="shared" si="16"/>
        <v>0</v>
      </c>
      <c r="AF52" s="171">
        <f t="shared" si="17"/>
        <v>0</v>
      </c>
      <c r="AG52" s="171">
        <f t="shared" si="18"/>
        <v>0</v>
      </c>
      <c r="AH52" s="171">
        <f t="shared" si="19"/>
        <v>0</v>
      </c>
      <c r="AI52" s="171">
        <f t="shared" si="20"/>
        <v>0</v>
      </c>
      <c r="AJ52" s="177">
        <f t="shared" si="30"/>
        <v>0</v>
      </c>
      <c r="AK52" s="171">
        <f t="shared" si="21"/>
        <v>0</v>
      </c>
      <c r="AL52" s="171">
        <f t="shared" si="22"/>
        <v>0</v>
      </c>
      <c r="AM52" s="171">
        <f t="shared" si="23"/>
        <v>0</v>
      </c>
      <c r="AN52" s="171">
        <f t="shared" si="24"/>
        <v>0</v>
      </c>
      <c r="AO52" s="177"/>
      <c r="AP52" s="203">
        <f t="shared" si="2"/>
        <v>2000</v>
      </c>
    </row>
    <row r="53" spans="1:42" s="204" customFormat="1" ht="31.5" hidden="1" x14ac:dyDescent="0.2">
      <c r="A53" s="196"/>
      <c r="B53" s="208" t="s">
        <v>132</v>
      </c>
      <c r="C53" s="199"/>
      <c r="D53" s="199" t="s">
        <v>133</v>
      </c>
      <c r="E53" s="199" t="s">
        <v>134</v>
      </c>
      <c r="F53" s="200" t="s">
        <v>135</v>
      </c>
      <c r="G53" s="169">
        <f t="shared" si="4"/>
        <v>24000</v>
      </c>
      <c r="H53" s="171">
        <v>24000</v>
      </c>
      <c r="I53" s="171"/>
      <c r="J53" s="201">
        <f t="shared" si="25"/>
        <v>0</v>
      </c>
      <c r="K53" s="201">
        <f t="shared" si="26"/>
        <v>0</v>
      </c>
      <c r="L53" s="201">
        <f t="shared" si="27"/>
        <v>0</v>
      </c>
      <c r="M53" s="201">
        <f t="shared" si="28"/>
        <v>0</v>
      </c>
      <c r="N53" s="171">
        <f t="shared" si="5"/>
        <v>24000</v>
      </c>
      <c r="O53" s="171">
        <f t="shared" si="6"/>
        <v>25272</v>
      </c>
      <c r="P53" s="171">
        <f t="shared" si="7"/>
        <v>26560.871999999999</v>
      </c>
      <c r="Q53" s="171"/>
      <c r="R53" s="171">
        <f t="shared" si="8"/>
        <v>0</v>
      </c>
      <c r="S53" s="171">
        <f t="shared" si="9"/>
        <v>0</v>
      </c>
      <c r="T53" s="171">
        <f t="shared" si="10"/>
        <v>25272</v>
      </c>
      <c r="U53" s="171">
        <f t="shared" si="11"/>
        <v>26560.871999999999</v>
      </c>
      <c r="V53" s="170">
        <f t="shared" si="29"/>
        <v>0</v>
      </c>
      <c r="W53" s="177"/>
      <c r="X53" s="171">
        <f t="shared" si="12"/>
        <v>0</v>
      </c>
      <c r="Y53" s="171">
        <f t="shared" si="13"/>
        <v>0</v>
      </c>
      <c r="Z53" s="177"/>
      <c r="AA53" s="177"/>
      <c r="AB53" s="177"/>
      <c r="AC53" s="171">
        <f t="shared" si="14"/>
        <v>0</v>
      </c>
      <c r="AD53" s="171">
        <f t="shared" si="15"/>
        <v>0</v>
      </c>
      <c r="AE53" s="171">
        <f t="shared" si="16"/>
        <v>0</v>
      </c>
      <c r="AF53" s="171">
        <f t="shared" si="17"/>
        <v>0</v>
      </c>
      <c r="AG53" s="171">
        <f t="shared" si="18"/>
        <v>0</v>
      </c>
      <c r="AH53" s="171">
        <f t="shared" si="19"/>
        <v>0</v>
      </c>
      <c r="AI53" s="171">
        <f t="shared" si="20"/>
        <v>0</v>
      </c>
      <c r="AJ53" s="177"/>
      <c r="AK53" s="171">
        <f t="shared" si="21"/>
        <v>0</v>
      </c>
      <c r="AL53" s="171">
        <f t="shared" si="22"/>
        <v>0</v>
      </c>
      <c r="AM53" s="171">
        <f t="shared" si="23"/>
        <v>0</v>
      </c>
      <c r="AN53" s="171">
        <f t="shared" si="24"/>
        <v>0</v>
      </c>
      <c r="AO53" s="177"/>
      <c r="AP53" s="203">
        <f t="shared" si="2"/>
        <v>24000</v>
      </c>
    </row>
    <row r="54" spans="1:42" s="247" customFormat="1" ht="15.75" hidden="1" x14ac:dyDescent="0.2">
      <c r="A54" s="237"/>
      <c r="B54" s="238" t="s">
        <v>136</v>
      </c>
      <c r="C54" s="239"/>
      <c r="D54" s="239" t="s">
        <v>137</v>
      </c>
      <c r="E54" s="239" t="s">
        <v>138</v>
      </c>
      <c r="F54" s="240" t="s">
        <v>139</v>
      </c>
      <c r="G54" s="241">
        <f t="shared" si="4"/>
        <v>7200</v>
      </c>
      <c r="H54" s="242">
        <v>7200</v>
      </c>
      <c r="I54" s="242"/>
      <c r="J54" s="243">
        <f t="shared" si="25"/>
        <v>0</v>
      </c>
      <c r="K54" s="243">
        <f t="shared" si="26"/>
        <v>0</v>
      </c>
      <c r="L54" s="243">
        <f t="shared" si="27"/>
        <v>0</v>
      </c>
      <c r="M54" s="243">
        <f t="shared" si="28"/>
        <v>0</v>
      </c>
      <c r="N54" s="242">
        <f t="shared" si="5"/>
        <v>7200</v>
      </c>
      <c r="O54" s="242">
        <f t="shared" si="6"/>
        <v>7581.5999999999995</v>
      </c>
      <c r="P54" s="242">
        <f t="shared" si="7"/>
        <v>7968.2615999999989</v>
      </c>
      <c r="Q54" s="242"/>
      <c r="R54" s="242">
        <f t="shared" si="8"/>
        <v>0</v>
      </c>
      <c r="S54" s="242">
        <f t="shared" si="9"/>
        <v>0</v>
      </c>
      <c r="T54" s="242">
        <f t="shared" si="10"/>
        <v>7581.5999999999995</v>
      </c>
      <c r="U54" s="242">
        <f t="shared" si="11"/>
        <v>7968.2615999999989</v>
      </c>
      <c r="V54" s="244">
        <f t="shared" si="29"/>
        <v>0</v>
      </c>
      <c r="W54" s="245"/>
      <c r="X54" s="242">
        <f t="shared" si="12"/>
        <v>0</v>
      </c>
      <c r="Y54" s="242">
        <f t="shared" si="13"/>
        <v>0</v>
      </c>
      <c r="Z54" s="245"/>
      <c r="AA54" s="245"/>
      <c r="AB54" s="245"/>
      <c r="AC54" s="242">
        <f t="shared" si="14"/>
        <v>0</v>
      </c>
      <c r="AD54" s="242">
        <f t="shared" si="15"/>
        <v>0</v>
      </c>
      <c r="AE54" s="242">
        <f t="shared" si="16"/>
        <v>0</v>
      </c>
      <c r="AF54" s="242">
        <f t="shared" si="17"/>
        <v>0</v>
      </c>
      <c r="AG54" s="242">
        <f t="shared" si="18"/>
        <v>0</v>
      </c>
      <c r="AH54" s="242">
        <f t="shared" si="19"/>
        <v>0</v>
      </c>
      <c r="AI54" s="242">
        <f t="shared" si="20"/>
        <v>0</v>
      </c>
      <c r="AJ54" s="245"/>
      <c r="AK54" s="242">
        <f t="shared" si="21"/>
        <v>0</v>
      </c>
      <c r="AL54" s="242">
        <f t="shared" si="22"/>
        <v>0</v>
      </c>
      <c r="AM54" s="242">
        <f t="shared" si="23"/>
        <v>0</v>
      </c>
      <c r="AN54" s="242">
        <f t="shared" si="24"/>
        <v>0</v>
      </c>
      <c r="AO54" s="245"/>
      <c r="AP54" s="246">
        <f t="shared" si="2"/>
        <v>7200</v>
      </c>
    </row>
    <row r="55" spans="1:42" s="247" customFormat="1" ht="15.75" hidden="1" x14ac:dyDescent="0.2">
      <c r="A55" s="237"/>
      <c r="B55" s="238" t="s">
        <v>140</v>
      </c>
      <c r="C55" s="239"/>
      <c r="D55" s="239" t="s">
        <v>141</v>
      </c>
      <c r="E55" s="239" t="s">
        <v>142</v>
      </c>
      <c r="F55" s="248" t="s">
        <v>143</v>
      </c>
      <c r="G55" s="241">
        <f t="shared" si="4"/>
        <v>10000</v>
      </c>
      <c r="H55" s="242">
        <v>10000</v>
      </c>
      <c r="I55" s="242"/>
      <c r="J55" s="243">
        <f t="shared" si="25"/>
        <v>0</v>
      </c>
      <c r="K55" s="243">
        <f t="shared" si="26"/>
        <v>0</v>
      </c>
      <c r="L55" s="243">
        <f t="shared" si="27"/>
        <v>0</v>
      </c>
      <c r="M55" s="243">
        <f t="shared" si="28"/>
        <v>0</v>
      </c>
      <c r="N55" s="242">
        <f t="shared" si="5"/>
        <v>10000</v>
      </c>
      <c r="O55" s="242">
        <f t="shared" si="6"/>
        <v>10530</v>
      </c>
      <c r="P55" s="242">
        <f t="shared" si="7"/>
        <v>11067.029999999999</v>
      </c>
      <c r="Q55" s="242"/>
      <c r="R55" s="242">
        <f t="shared" si="8"/>
        <v>0</v>
      </c>
      <c r="S55" s="242">
        <f t="shared" si="9"/>
        <v>0</v>
      </c>
      <c r="T55" s="242">
        <f t="shared" si="10"/>
        <v>10530</v>
      </c>
      <c r="U55" s="242">
        <f t="shared" si="11"/>
        <v>11067.029999999999</v>
      </c>
      <c r="V55" s="244">
        <f t="shared" si="29"/>
        <v>0</v>
      </c>
      <c r="W55" s="245"/>
      <c r="X55" s="242">
        <f t="shared" si="12"/>
        <v>0</v>
      </c>
      <c r="Y55" s="242">
        <f t="shared" si="13"/>
        <v>0</v>
      </c>
      <c r="Z55" s="245"/>
      <c r="AA55" s="245"/>
      <c r="AB55" s="245"/>
      <c r="AC55" s="242">
        <f t="shared" si="14"/>
        <v>0</v>
      </c>
      <c r="AD55" s="242">
        <f t="shared" si="15"/>
        <v>0</v>
      </c>
      <c r="AE55" s="242">
        <f t="shared" si="16"/>
        <v>0</v>
      </c>
      <c r="AF55" s="242">
        <f t="shared" si="17"/>
        <v>0</v>
      </c>
      <c r="AG55" s="242">
        <f t="shared" si="18"/>
        <v>0</v>
      </c>
      <c r="AH55" s="242">
        <f t="shared" si="19"/>
        <v>0</v>
      </c>
      <c r="AI55" s="242">
        <f t="shared" si="20"/>
        <v>0</v>
      </c>
      <c r="AJ55" s="245"/>
      <c r="AK55" s="242">
        <f t="shared" si="21"/>
        <v>0</v>
      </c>
      <c r="AL55" s="242">
        <f t="shared" si="22"/>
        <v>0</v>
      </c>
      <c r="AM55" s="242">
        <f t="shared" si="23"/>
        <v>0</v>
      </c>
      <c r="AN55" s="242">
        <f t="shared" si="24"/>
        <v>0</v>
      </c>
      <c r="AO55" s="245"/>
      <c r="AP55" s="246">
        <f t="shared" si="2"/>
        <v>10000</v>
      </c>
    </row>
    <row r="56" spans="1:42" s="247" customFormat="1" ht="15.75" hidden="1" x14ac:dyDescent="0.2">
      <c r="A56" s="237"/>
      <c r="B56" s="238"/>
      <c r="C56" s="239"/>
      <c r="D56" s="239"/>
      <c r="E56" s="249"/>
      <c r="F56" s="250"/>
      <c r="G56" s="241">
        <f t="shared" si="4"/>
        <v>0</v>
      </c>
      <c r="H56" s="241"/>
      <c r="I56" s="241"/>
      <c r="J56" s="243">
        <f t="shared" si="25"/>
        <v>0</v>
      </c>
      <c r="K56" s="243">
        <f t="shared" si="26"/>
        <v>0</v>
      </c>
      <c r="L56" s="243">
        <f t="shared" si="27"/>
        <v>0</v>
      </c>
      <c r="M56" s="243">
        <f t="shared" si="28"/>
        <v>0</v>
      </c>
      <c r="N56" s="242">
        <f t="shared" si="5"/>
        <v>0</v>
      </c>
      <c r="O56" s="242">
        <f t="shared" si="6"/>
        <v>0</v>
      </c>
      <c r="P56" s="242">
        <f t="shared" si="7"/>
        <v>0</v>
      </c>
      <c r="Q56" s="241"/>
      <c r="R56" s="242">
        <f t="shared" si="8"/>
        <v>0</v>
      </c>
      <c r="S56" s="242">
        <f t="shared" si="9"/>
        <v>0</v>
      </c>
      <c r="T56" s="242">
        <f t="shared" si="10"/>
        <v>0</v>
      </c>
      <c r="U56" s="242">
        <f t="shared" si="11"/>
        <v>0</v>
      </c>
      <c r="V56" s="244">
        <f t="shared" si="29"/>
        <v>0</v>
      </c>
      <c r="W56" s="244"/>
      <c r="X56" s="242">
        <f t="shared" si="12"/>
        <v>0</v>
      </c>
      <c r="Y56" s="242">
        <f t="shared" si="13"/>
        <v>0</v>
      </c>
      <c r="Z56" s="244"/>
      <c r="AA56" s="244"/>
      <c r="AB56" s="244"/>
      <c r="AC56" s="242">
        <f t="shared" si="14"/>
        <v>0</v>
      </c>
      <c r="AD56" s="242">
        <f t="shared" si="15"/>
        <v>0</v>
      </c>
      <c r="AE56" s="242">
        <f t="shared" si="16"/>
        <v>0</v>
      </c>
      <c r="AF56" s="242">
        <f t="shared" si="17"/>
        <v>0</v>
      </c>
      <c r="AG56" s="242">
        <f t="shared" si="18"/>
        <v>0</v>
      </c>
      <c r="AH56" s="242">
        <f t="shared" si="19"/>
        <v>0</v>
      </c>
      <c r="AI56" s="242">
        <f t="shared" si="20"/>
        <v>0</v>
      </c>
      <c r="AJ56" s="244">
        <f>AB56</f>
        <v>0</v>
      </c>
      <c r="AK56" s="242">
        <f t="shared" si="21"/>
        <v>0</v>
      </c>
      <c r="AL56" s="242">
        <f t="shared" si="22"/>
        <v>0</v>
      </c>
      <c r="AM56" s="242">
        <f t="shared" si="23"/>
        <v>0</v>
      </c>
      <c r="AN56" s="242">
        <f t="shared" si="24"/>
        <v>0</v>
      </c>
      <c r="AO56" s="244"/>
      <c r="AP56" s="246">
        <f t="shared" si="2"/>
        <v>0</v>
      </c>
    </row>
    <row r="57" spans="1:42" s="247" customFormat="1" ht="31.5" hidden="1" x14ac:dyDescent="0.2">
      <c r="A57" s="237"/>
      <c r="B57" s="238" t="s">
        <v>144</v>
      </c>
      <c r="C57" s="239"/>
      <c r="D57" s="239" t="s">
        <v>145</v>
      </c>
      <c r="E57" s="239" t="s">
        <v>146</v>
      </c>
      <c r="F57" s="240" t="s">
        <v>147</v>
      </c>
      <c r="G57" s="241">
        <f t="shared" si="4"/>
        <v>0</v>
      </c>
      <c r="H57" s="242"/>
      <c r="I57" s="242"/>
      <c r="J57" s="243">
        <f t="shared" si="25"/>
        <v>0</v>
      </c>
      <c r="K57" s="243">
        <f t="shared" si="26"/>
        <v>0</v>
      </c>
      <c r="L57" s="243">
        <f t="shared" si="27"/>
        <v>0</v>
      </c>
      <c r="M57" s="243">
        <f t="shared" si="28"/>
        <v>0</v>
      </c>
      <c r="N57" s="242">
        <f t="shared" si="5"/>
        <v>0</v>
      </c>
      <c r="O57" s="242">
        <f t="shared" si="6"/>
        <v>0</v>
      </c>
      <c r="P57" s="242">
        <f t="shared" si="7"/>
        <v>0</v>
      </c>
      <c r="Q57" s="242"/>
      <c r="R57" s="242">
        <f t="shared" si="8"/>
        <v>0</v>
      </c>
      <c r="S57" s="242">
        <f t="shared" si="9"/>
        <v>0</v>
      </c>
      <c r="T57" s="242">
        <f t="shared" si="10"/>
        <v>0</v>
      </c>
      <c r="U57" s="242">
        <f t="shared" si="11"/>
        <v>0</v>
      </c>
      <c r="V57" s="251">
        <f t="shared" si="29"/>
        <v>54500</v>
      </c>
      <c r="W57" s="243"/>
      <c r="X57" s="242">
        <f t="shared" si="12"/>
        <v>0</v>
      </c>
      <c r="Y57" s="242">
        <f t="shared" si="13"/>
        <v>0</v>
      </c>
      <c r="Z57" s="243"/>
      <c r="AA57" s="243">
        <v>54500</v>
      </c>
      <c r="AB57" s="245"/>
      <c r="AC57" s="242">
        <f t="shared" si="14"/>
        <v>0</v>
      </c>
      <c r="AD57" s="242">
        <f t="shared" si="15"/>
        <v>0</v>
      </c>
      <c r="AE57" s="242">
        <f t="shared" si="16"/>
        <v>0</v>
      </c>
      <c r="AF57" s="242">
        <f t="shared" si="17"/>
        <v>0</v>
      </c>
      <c r="AG57" s="242">
        <f t="shared" si="18"/>
        <v>54500</v>
      </c>
      <c r="AH57" s="242">
        <f t="shared" si="19"/>
        <v>57388.5</v>
      </c>
      <c r="AI57" s="242">
        <f t="shared" si="20"/>
        <v>60315.313499999997</v>
      </c>
      <c r="AJ57" s="245">
        <f t="shared" si="30"/>
        <v>0</v>
      </c>
      <c r="AK57" s="242">
        <f t="shared" si="21"/>
        <v>0</v>
      </c>
      <c r="AL57" s="242">
        <f t="shared" si="22"/>
        <v>0</v>
      </c>
      <c r="AM57" s="242">
        <f t="shared" si="23"/>
        <v>57388.5</v>
      </c>
      <c r="AN57" s="242">
        <f t="shared" si="24"/>
        <v>60315.313499999997</v>
      </c>
      <c r="AO57" s="245"/>
      <c r="AP57" s="246">
        <f t="shared" si="2"/>
        <v>54500</v>
      </c>
    </row>
    <row r="58" spans="1:42" s="247" customFormat="1" ht="15" hidden="1" customHeight="1" x14ac:dyDescent="0.2">
      <c r="A58" s="237"/>
      <c r="B58" s="238" t="s">
        <v>148</v>
      </c>
      <c r="C58" s="239"/>
      <c r="D58" s="239" t="s">
        <v>149</v>
      </c>
      <c r="E58" s="239" t="s">
        <v>149</v>
      </c>
      <c r="F58" s="240" t="s">
        <v>150</v>
      </c>
      <c r="G58" s="241">
        <f t="shared" si="4"/>
        <v>120000</v>
      </c>
      <c r="H58" s="242">
        <v>120000</v>
      </c>
      <c r="I58" s="242"/>
      <c r="J58" s="243">
        <f t="shared" si="25"/>
        <v>0</v>
      </c>
      <c r="K58" s="243">
        <f t="shared" si="26"/>
        <v>0</v>
      </c>
      <c r="L58" s="243">
        <f t="shared" si="27"/>
        <v>0</v>
      </c>
      <c r="M58" s="243">
        <f t="shared" si="28"/>
        <v>0</v>
      </c>
      <c r="N58" s="242">
        <f t="shared" si="5"/>
        <v>120000</v>
      </c>
      <c r="O58" s="242">
        <f t="shared" si="6"/>
        <v>126359.99999999999</v>
      </c>
      <c r="P58" s="242">
        <f t="shared" si="7"/>
        <v>132804.35999999999</v>
      </c>
      <c r="Q58" s="242"/>
      <c r="R58" s="242">
        <f t="shared" si="8"/>
        <v>0</v>
      </c>
      <c r="S58" s="242">
        <f t="shared" si="9"/>
        <v>0</v>
      </c>
      <c r="T58" s="242">
        <f t="shared" si="10"/>
        <v>126359.99999999999</v>
      </c>
      <c r="U58" s="242">
        <f t="shared" si="11"/>
        <v>132804.35999999999</v>
      </c>
      <c r="V58" s="244">
        <f t="shared" si="29"/>
        <v>0</v>
      </c>
      <c r="W58" s="245"/>
      <c r="X58" s="242">
        <f t="shared" si="12"/>
        <v>0</v>
      </c>
      <c r="Y58" s="242">
        <f t="shared" si="13"/>
        <v>0</v>
      </c>
      <c r="Z58" s="245"/>
      <c r="AA58" s="245"/>
      <c r="AB58" s="245"/>
      <c r="AC58" s="242">
        <f t="shared" si="14"/>
        <v>0</v>
      </c>
      <c r="AD58" s="242">
        <f t="shared" si="15"/>
        <v>0</v>
      </c>
      <c r="AE58" s="242">
        <f t="shared" si="16"/>
        <v>0</v>
      </c>
      <c r="AF58" s="242">
        <f t="shared" si="17"/>
        <v>0</v>
      </c>
      <c r="AG58" s="242">
        <f t="shared" si="18"/>
        <v>0</v>
      </c>
      <c r="AH58" s="242">
        <f t="shared" si="19"/>
        <v>0</v>
      </c>
      <c r="AI58" s="242">
        <f t="shared" si="20"/>
        <v>0</v>
      </c>
      <c r="AJ58" s="245">
        <f t="shared" si="30"/>
        <v>0</v>
      </c>
      <c r="AK58" s="242">
        <f t="shared" si="21"/>
        <v>0</v>
      </c>
      <c r="AL58" s="242">
        <f t="shared" si="22"/>
        <v>0</v>
      </c>
      <c r="AM58" s="242">
        <f t="shared" si="23"/>
        <v>0</v>
      </c>
      <c r="AN58" s="242">
        <f t="shared" si="24"/>
        <v>0</v>
      </c>
      <c r="AO58" s="245"/>
      <c r="AP58" s="246">
        <f t="shared" si="2"/>
        <v>120000</v>
      </c>
    </row>
    <row r="59" spans="1:42" s="247" customFormat="1" ht="15.75" hidden="1" x14ac:dyDescent="0.2">
      <c r="A59" s="237"/>
      <c r="B59" s="238" t="s">
        <v>151</v>
      </c>
      <c r="C59" s="239"/>
      <c r="D59" s="239" t="s">
        <v>51</v>
      </c>
      <c r="E59" s="239" t="s">
        <v>51</v>
      </c>
      <c r="F59" s="240" t="s">
        <v>152</v>
      </c>
      <c r="G59" s="241">
        <v>100000</v>
      </c>
      <c r="H59" s="243"/>
      <c r="I59" s="242"/>
      <c r="J59" s="243">
        <f t="shared" si="25"/>
        <v>0</v>
      </c>
      <c r="K59" s="243">
        <f t="shared" si="26"/>
        <v>0</v>
      </c>
      <c r="L59" s="243">
        <f t="shared" si="27"/>
        <v>0</v>
      </c>
      <c r="M59" s="243">
        <f t="shared" si="28"/>
        <v>0</v>
      </c>
      <c r="N59" s="242">
        <f t="shared" si="5"/>
        <v>0</v>
      </c>
      <c r="O59" s="242">
        <f t="shared" si="6"/>
        <v>0</v>
      </c>
      <c r="P59" s="242">
        <f t="shared" si="7"/>
        <v>0</v>
      </c>
      <c r="Q59" s="242"/>
      <c r="R59" s="242">
        <f t="shared" si="8"/>
        <v>0</v>
      </c>
      <c r="S59" s="242">
        <f t="shared" si="9"/>
        <v>0</v>
      </c>
      <c r="T59" s="242">
        <f>G59*1.053</f>
        <v>105300</v>
      </c>
      <c r="U59" s="242">
        <f>105300*1.051</f>
        <v>110670.29999999999</v>
      </c>
      <c r="V59" s="244">
        <f t="shared" si="29"/>
        <v>0</v>
      </c>
      <c r="W59" s="245"/>
      <c r="X59" s="242">
        <f t="shared" si="12"/>
        <v>0</v>
      </c>
      <c r="Y59" s="242">
        <f t="shared" si="13"/>
        <v>0</v>
      </c>
      <c r="Z59" s="245"/>
      <c r="AA59" s="245"/>
      <c r="AB59" s="245"/>
      <c r="AC59" s="242">
        <f t="shared" si="14"/>
        <v>0</v>
      </c>
      <c r="AD59" s="242">
        <f t="shared" si="15"/>
        <v>0</v>
      </c>
      <c r="AE59" s="242">
        <f t="shared" si="16"/>
        <v>0</v>
      </c>
      <c r="AF59" s="242">
        <f t="shared" si="17"/>
        <v>0</v>
      </c>
      <c r="AG59" s="242">
        <f t="shared" si="18"/>
        <v>0</v>
      </c>
      <c r="AH59" s="242">
        <f t="shared" si="19"/>
        <v>0</v>
      </c>
      <c r="AI59" s="242">
        <f t="shared" si="20"/>
        <v>0</v>
      </c>
      <c r="AJ59" s="245">
        <f t="shared" si="30"/>
        <v>0</v>
      </c>
      <c r="AK59" s="242">
        <f t="shared" si="21"/>
        <v>0</v>
      </c>
      <c r="AL59" s="242">
        <f t="shared" si="22"/>
        <v>0</v>
      </c>
      <c r="AM59" s="242">
        <f t="shared" si="23"/>
        <v>0</v>
      </c>
      <c r="AN59" s="242">
        <f t="shared" si="24"/>
        <v>0</v>
      </c>
      <c r="AO59" s="245">
        <f>AB59</f>
        <v>0</v>
      </c>
      <c r="AP59" s="246">
        <f t="shared" si="2"/>
        <v>100000</v>
      </c>
    </row>
    <row r="60" spans="1:42" s="18" customFormat="1" ht="47.25" hidden="1" x14ac:dyDescent="0.2">
      <c r="A60" s="36"/>
      <c r="B60" s="112" t="s">
        <v>153</v>
      </c>
      <c r="C60" s="104"/>
      <c r="D60" s="104" t="s">
        <v>154</v>
      </c>
      <c r="E60" s="104" t="s">
        <v>154</v>
      </c>
      <c r="F60" s="97" t="s">
        <v>155</v>
      </c>
      <c r="G60" s="96">
        <f t="shared" si="4"/>
        <v>3467500</v>
      </c>
      <c r="H60" s="116">
        <v>3467500</v>
      </c>
      <c r="I60" s="98"/>
      <c r="J60" s="103">
        <f t="shared" si="25"/>
        <v>0</v>
      </c>
      <c r="K60" s="103">
        <f t="shared" si="26"/>
        <v>0</v>
      </c>
      <c r="L60" s="103">
        <f t="shared" si="27"/>
        <v>0</v>
      </c>
      <c r="M60" s="103">
        <f t="shared" si="28"/>
        <v>0</v>
      </c>
      <c r="N60" s="98">
        <f t="shared" si="5"/>
        <v>3467500</v>
      </c>
      <c r="O60" s="98">
        <f t="shared" si="6"/>
        <v>3651277.5</v>
      </c>
      <c r="P60" s="98">
        <f t="shared" si="7"/>
        <v>3837492.6524999999</v>
      </c>
      <c r="Q60" s="98"/>
      <c r="R60" s="98">
        <f t="shared" si="8"/>
        <v>0</v>
      </c>
      <c r="S60" s="98">
        <f t="shared" si="9"/>
        <v>0</v>
      </c>
      <c r="T60" s="150">
        <f t="shared" si="10"/>
        <v>3651277.5</v>
      </c>
      <c r="U60" s="150">
        <f t="shared" si="11"/>
        <v>3837492.6524999999</v>
      </c>
      <c r="V60" s="99">
        <f t="shared" si="29"/>
        <v>0</v>
      </c>
      <c r="W60" s="105"/>
      <c r="X60" s="171">
        <f t="shared" si="12"/>
        <v>0</v>
      </c>
      <c r="Y60" s="171">
        <f t="shared" si="13"/>
        <v>0</v>
      </c>
      <c r="Z60" s="105"/>
      <c r="AA60" s="105"/>
      <c r="AB60" s="105"/>
      <c r="AC60" s="98">
        <f t="shared" si="14"/>
        <v>0</v>
      </c>
      <c r="AD60" s="98">
        <f t="shared" si="15"/>
        <v>0</v>
      </c>
      <c r="AE60" s="98">
        <f t="shared" si="16"/>
        <v>0</v>
      </c>
      <c r="AF60" s="98">
        <f t="shared" si="17"/>
        <v>0</v>
      </c>
      <c r="AG60" s="98">
        <f t="shared" si="18"/>
        <v>0</v>
      </c>
      <c r="AH60" s="98">
        <f t="shared" si="19"/>
        <v>0</v>
      </c>
      <c r="AI60" s="98">
        <f t="shared" si="20"/>
        <v>0</v>
      </c>
      <c r="AJ60" s="105">
        <f t="shared" si="30"/>
        <v>0</v>
      </c>
      <c r="AK60" s="98">
        <f t="shared" si="21"/>
        <v>0</v>
      </c>
      <c r="AL60" s="98">
        <f t="shared" si="22"/>
        <v>0</v>
      </c>
      <c r="AM60" s="150">
        <f t="shared" si="23"/>
        <v>0</v>
      </c>
      <c r="AN60" s="150">
        <f t="shared" si="24"/>
        <v>0</v>
      </c>
      <c r="AO60" s="105">
        <f>AB60</f>
        <v>0</v>
      </c>
      <c r="AP60" s="102">
        <f t="shared" si="2"/>
        <v>3467500</v>
      </c>
    </row>
    <row r="61" spans="1:42" s="18" customFormat="1" ht="31.5" hidden="1" x14ac:dyDescent="0.2">
      <c r="A61" s="36"/>
      <c r="B61" s="112"/>
      <c r="C61" s="104"/>
      <c r="D61" s="104"/>
      <c r="E61" s="104"/>
      <c r="F61" s="97" t="s">
        <v>156</v>
      </c>
      <c r="G61" s="96">
        <f t="shared" si="4"/>
        <v>3467500</v>
      </c>
      <c r="H61" s="116">
        <v>3467500</v>
      </c>
      <c r="I61" s="98"/>
      <c r="J61" s="103">
        <f t="shared" si="25"/>
        <v>0</v>
      </c>
      <c r="K61" s="103">
        <f t="shared" si="26"/>
        <v>0</v>
      </c>
      <c r="L61" s="103">
        <f t="shared" si="27"/>
        <v>0</v>
      </c>
      <c r="M61" s="103">
        <f t="shared" si="28"/>
        <v>0</v>
      </c>
      <c r="N61" s="98">
        <f t="shared" si="5"/>
        <v>3467500</v>
      </c>
      <c r="O61" s="98">
        <f t="shared" si="6"/>
        <v>3651277.5</v>
      </c>
      <c r="P61" s="98">
        <f t="shared" si="7"/>
        <v>3837492.6524999999</v>
      </c>
      <c r="Q61" s="98"/>
      <c r="R61" s="98">
        <f t="shared" si="8"/>
        <v>0</v>
      </c>
      <c r="S61" s="98">
        <f t="shared" si="9"/>
        <v>0</v>
      </c>
      <c r="T61" s="150">
        <f t="shared" si="10"/>
        <v>3651277.5</v>
      </c>
      <c r="U61" s="150">
        <f t="shared" si="11"/>
        <v>3837492.6524999999</v>
      </c>
      <c r="V61" s="99">
        <f t="shared" si="29"/>
        <v>0</v>
      </c>
      <c r="W61" s="105"/>
      <c r="X61" s="171">
        <f t="shared" si="12"/>
        <v>0</v>
      </c>
      <c r="Y61" s="171">
        <f t="shared" si="13"/>
        <v>0</v>
      </c>
      <c r="Z61" s="105"/>
      <c r="AA61" s="105"/>
      <c r="AB61" s="105"/>
      <c r="AC61" s="98">
        <f t="shared" si="14"/>
        <v>0</v>
      </c>
      <c r="AD61" s="98">
        <f t="shared" si="15"/>
        <v>0</v>
      </c>
      <c r="AE61" s="98">
        <f t="shared" si="16"/>
        <v>0</v>
      </c>
      <c r="AF61" s="98">
        <f t="shared" si="17"/>
        <v>0</v>
      </c>
      <c r="AG61" s="98">
        <f t="shared" si="18"/>
        <v>0</v>
      </c>
      <c r="AH61" s="98">
        <f t="shared" si="19"/>
        <v>0</v>
      </c>
      <c r="AI61" s="98">
        <f t="shared" si="20"/>
        <v>0</v>
      </c>
      <c r="AJ61" s="105">
        <f t="shared" si="30"/>
        <v>0</v>
      </c>
      <c r="AK61" s="98">
        <f t="shared" si="21"/>
        <v>0</v>
      </c>
      <c r="AL61" s="98">
        <f t="shared" si="22"/>
        <v>0</v>
      </c>
      <c r="AM61" s="150">
        <f t="shared" si="23"/>
        <v>0</v>
      </c>
      <c r="AN61" s="150">
        <f t="shared" si="24"/>
        <v>0</v>
      </c>
      <c r="AO61" s="105"/>
      <c r="AP61" s="102">
        <f t="shared" si="2"/>
        <v>3467500</v>
      </c>
    </row>
    <row r="62" spans="1:42" s="18" customFormat="1" ht="15" hidden="1" customHeight="1" x14ac:dyDescent="0.2">
      <c r="A62" s="36"/>
      <c r="B62" s="117" t="s">
        <v>43</v>
      </c>
      <c r="C62" s="104"/>
      <c r="D62" s="104"/>
      <c r="E62" s="104"/>
      <c r="F62" s="118"/>
      <c r="G62" s="96">
        <f t="shared" si="4"/>
        <v>0</v>
      </c>
      <c r="H62" s="98"/>
      <c r="I62" s="98"/>
      <c r="J62" s="103">
        <f t="shared" si="25"/>
        <v>0</v>
      </c>
      <c r="K62" s="103">
        <f t="shared" si="26"/>
        <v>0</v>
      </c>
      <c r="L62" s="103">
        <f t="shared" si="27"/>
        <v>0</v>
      </c>
      <c r="M62" s="103">
        <f t="shared" si="28"/>
        <v>0</v>
      </c>
      <c r="N62" s="98">
        <f t="shared" si="5"/>
        <v>0</v>
      </c>
      <c r="O62" s="98">
        <f t="shared" si="6"/>
        <v>0</v>
      </c>
      <c r="P62" s="98">
        <f t="shared" si="7"/>
        <v>0</v>
      </c>
      <c r="Q62" s="98"/>
      <c r="R62" s="98">
        <f t="shared" si="8"/>
        <v>0</v>
      </c>
      <c r="S62" s="98">
        <f t="shared" si="9"/>
        <v>0</v>
      </c>
      <c r="T62" s="150">
        <f t="shared" si="10"/>
        <v>0</v>
      </c>
      <c r="U62" s="150">
        <f t="shared" si="11"/>
        <v>0</v>
      </c>
      <c r="V62" s="99">
        <f t="shared" si="29"/>
        <v>0</v>
      </c>
      <c r="W62" s="105"/>
      <c r="X62" s="171">
        <f t="shared" si="12"/>
        <v>0</v>
      </c>
      <c r="Y62" s="171">
        <f t="shared" si="13"/>
        <v>0</v>
      </c>
      <c r="Z62" s="105"/>
      <c r="AA62" s="105"/>
      <c r="AB62" s="105"/>
      <c r="AC62" s="98">
        <f t="shared" si="14"/>
        <v>0</v>
      </c>
      <c r="AD62" s="98">
        <f t="shared" si="15"/>
        <v>0</v>
      </c>
      <c r="AE62" s="98">
        <f t="shared" si="16"/>
        <v>0</v>
      </c>
      <c r="AF62" s="98">
        <f t="shared" si="17"/>
        <v>0</v>
      </c>
      <c r="AG62" s="98">
        <f t="shared" si="18"/>
        <v>0</v>
      </c>
      <c r="AH62" s="98">
        <f t="shared" si="19"/>
        <v>0</v>
      </c>
      <c r="AI62" s="98">
        <f t="shared" si="20"/>
        <v>0</v>
      </c>
      <c r="AJ62" s="105">
        <f t="shared" si="30"/>
        <v>0</v>
      </c>
      <c r="AK62" s="98">
        <f t="shared" si="21"/>
        <v>0</v>
      </c>
      <c r="AL62" s="98">
        <f t="shared" si="22"/>
        <v>0</v>
      </c>
      <c r="AM62" s="150">
        <f t="shared" si="23"/>
        <v>0</v>
      </c>
      <c r="AN62" s="150">
        <f t="shared" si="24"/>
        <v>0</v>
      </c>
      <c r="AO62" s="105">
        <f>AB62</f>
        <v>0</v>
      </c>
      <c r="AP62" s="102">
        <f t="shared" si="2"/>
        <v>0</v>
      </c>
    </row>
    <row r="63" spans="1:42" s="18" customFormat="1" ht="15" hidden="1" customHeight="1" x14ac:dyDescent="0.2">
      <c r="A63" s="36"/>
      <c r="B63" s="117" t="s">
        <v>158</v>
      </c>
      <c r="C63" s="104"/>
      <c r="D63" s="104"/>
      <c r="E63" s="104"/>
      <c r="F63" s="118"/>
      <c r="G63" s="96">
        <f t="shared" si="4"/>
        <v>0</v>
      </c>
      <c r="H63" s="98"/>
      <c r="I63" s="98"/>
      <c r="J63" s="103">
        <f t="shared" si="25"/>
        <v>0</v>
      </c>
      <c r="K63" s="103">
        <f t="shared" si="26"/>
        <v>0</v>
      </c>
      <c r="L63" s="103">
        <f t="shared" si="27"/>
        <v>0</v>
      </c>
      <c r="M63" s="103">
        <f t="shared" si="28"/>
        <v>0</v>
      </c>
      <c r="N63" s="98">
        <f t="shared" si="5"/>
        <v>0</v>
      </c>
      <c r="O63" s="98">
        <f t="shared" si="6"/>
        <v>0</v>
      </c>
      <c r="P63" s="98">
        <f t="shared" si="7"/>
        <v>0</v>
      </c>
      <c r="Q63" s="98"/>
      <c r="R63" s="98">
        <f t="shared" si="8"/>
        <v>0</v>
      </c>
      <c r="S63" s="98">
        <f t="shared" si="9"/>
        <v>0</v>
      </c>
      <c r="T63" s="150">
        <f t="shared" si="10"/>
        <v>0</v>
      </c>
      <c r="U63" s="150">
        <f t="shared" si="11"/>
        <v>0</v>
      </c>
      <c r="V63" s="99">
        <f t="shared" si="29"/>
        <v>0</v>
      </c>
      <c r="W63" s="105"/>
      <c r="X63" s="171">
        <f t="shared" si="12"/>
        <v>0</v>
      </c>
      <c r="Y63" s="171">
        <f t="shared" si="13"/>
        <v>0</v>
      </c>
      <c r="Z63" s="105"/>
      <c r="AA63" s="105"/>
      <c r="AB63" s="105"/>
      <c r="AC63" s="98">
        <f t="shared" si="14"/>
        <v>0</v>
      </c>
      <c r="AD63" s="98">
        <f t="shared" si="15"/>
        <v>0</v>
      </c>
      <c r="AE63" s="98">
        <f t="shared" si="16"/>
        <v>0</v>
      </c>
      <c r="AF63" s="98">
        <f t="shared" si="17"/>
        <v>0</v>
      </c>
      <c r="AG63" s="98">
        <f t="shared" si="18"/>
        <v>0</v>
      </c>
      <c r="AH63" s="98">
        <f t="shared" si="19"/>
        <v>0</v>
      </c>
      <c r="AI63" s="98">
        <f t="shared" si="20"/>
        <v>0</v>
      </c>
      <c r="AJ63" s="105">
        <f t="shared" si="30"/>
        <v>0</v>
      </c>
      <c r="AK63" s="98">
        <f t="shared" si="21"/>
        <v>0</v>
      </c>
      <c r="AL63" s="98">
        <f t="shared" si="22"/>
        <v>0</v>
      </c>
      <c r="AM63" s="150">
        <f t="shared" si="23"/>
        <v>0</v>
      </c>
      <c r="AN63" s="150">
        <f t="shared" si="24"/>
        <v>0</v>
      </c>
      <c r="AO63" s="105"/>
      <c r="AP63" s="102">
        <f t="shared" si="2"/>
        <v>0</v>
      </c>
    </row>
    <row r="64" spans="1:42" s="18" customFormat="1" ht="15" hidden="1" customHeight="1" x14ac:dyDescent="0.2">
      <c r="A64" s="36"/>
      <c r="B64" s="117"/>
      <c r="C64" s="104"/>
      <c r="D64" s="104"/>
      <c r="E64" s="104"/>
      <c r="F64" s="118"/>
      <c r="G64" s="96">
        <f t="shared" si="4"/>
        <v>0</v>
      </c>
      <c r="H64" s="98"/>
      <c r="I64" s="98"/>
      <c r="J64" s="103">
        <f t="shared" si="25"/>
        <v>0</v>
      </c>
      <c r="K64" s="103">
        <f t="shared" si="26"/>
        <v>0</v>
      </c>
      <c r="L64" s="103">
        <f t="shared" si="27"/>
        <v>0</v>
      </c>
      <c r="M64" s="103">
        <f t="shared" si="28"/>
        <v>0</v>
      </c>
      <c r="N64" s="98">
        <f t="shared" si="5"/>
        <v>0</v>
      </c>
      <c r="O64" s="98">
        <f t="shared" si="6"/>
        <v>0</v>
      </c>
      <c r="P64" s="98">
        <f t="shared" si="7"/>
        <v>0</v>
      </c>
      <c r="Q64" s="98"/>
      <c r="R64" s="98">
        <f t="shared" si="8"/>
        <v>0</v>
      </c>
      <c r="S64" s="98">
        <f t="shared" si="9"/>
        <v>0</v>
      </c>
      <c r="T64" s="150">
        <f t="shared" si="10"/>
        <v>0</v>
      </c>
      <c r="U64" s="150">
        <f t="shared" si="11"/>
        <v>0</v>
      </c>
      <c r="V64" s="99">
        <f t="shared" si="29"/>
        <v>0</v>
      </c>
      <c r="W64" s="105"/>
      <c r="X64" s="171">
        <f t="shared" si="12"/>
        <v>0</v>
      </c>
      <c r="Y64" s="171">
        <f t="shared" si="13"/>
        <v>0</v>
      </c>
      <c r="Z64" s="105"/>
      <c r="AA64" s="105"/>
      <c r="AB64" s="105"/>
      <c r="AC64" s="98">
        <f t="shared" si="14"/>
        <v>0</v>
      </c>
      <c r="AD64" s="98">
        <f t="shared" si="15"/>
        <v>0</v>
      </c>
      <c r="AE64" s="98">
        <f t="shared" si="16"/>
        <v>0</v>
      </c>
      <c r="AF64" s="98">
        <f t="shared" si="17"/>
        <v>0</v>
      </c>
      <c r="AG64" s="98">
        <f t="shared" si="18"/>
        <v>0</v>
      </c>
      <c r="AH64" s="98">
        <f t="shared" si="19"/>
        <v>0</v>
      </c>
      <c r="AI64" s="98">
        <f t="shared" si="20"/>
        <v>0</v>
      </c>
      <c r="AJ64" s="105">
        <f t="shared" si="30"/>
        <v>0</v>
      </c>
      <c r="AK64" s="98">
        <f t="shared" si="21"/>
        <v>0</v>
      </c>
      <c r="AL64" s="98">
        <f t="shared" si="22"/>
        <v>0</v>
      </c>
      <c r="AM64" s="150">
        <f t="shared" si="23"/>
        <v>0</v>
      </c>
      <c r="AN64" s="150">
        <f t="shared" si="24"/>
        <v>0</v>
      </c>
      <c r="AO64" s="105"/>
      <c r="AP64" s="102">
        <f t="shared" si="2"/>
        <v>0</v>
      </c>
    </row>
    <row r="65" spans="1:43" s="18" customFormat="1" ht="15" hidden="1" customHeight="1" x14ac:dyDescent="0.2">
      <c r="A65" s="36"/>
      <c r="B65" s="117"/>
      <c r="C65" s="104"/>
      <c r="D65" s="104"/>
      <c r="E65" s="104"/>
      <c r="F65" s="118"/>
      <c r="G65" s="96">
        <f t="shared" si="4"/>
        <v>0</v>
      </c>
      <c r="H65" s="98"/>
      <c r="I65" s="98"/>
      <c r="J65" s="103">
        <f t="shared" si="25"/>
        <v>0</v>
      </c>
      <c r="K65" s="103">
        <f t="shared" si="26"/>
        <v>0</v>
      </c>
      <c r="L65" s="103">
        <f t="shared" si="27"/>
        <v>0</v>
      </c>
      <c r="M65" s="103">
        <f t="shared" si="28"/>
        <v>0</v>
      </c>
      <c r="N65" s="98">
        <f t="shared" si="5"/>
        <v>0</v>
      </c>
      <c r="O65" s="98">
        <f t="shared" si="6"/>
        <v>0</v>
      </c>
      <c r="P65" s="98">
        <f t="shared" si="7"/>
        <v>0</v>
      </c>
      <c r="Q65" s="98"/>
      <c r="R65" s="98">
        <f t="shared" si="8"/>
        <v>0</v>
      </c>
      <c r="S65" s="98">
        <f t="shared" si="9"/>
        <v>0</v>
      </c>
      <c r="T65" s="150">
        <f t="shared" si="10"/>
        <v>0</v>
      </c>
      <c r="U65" s="150">
        <f t="shared" si="11"/>
        <v>0</v>
      </c>
      <c r="V65" s="99">
        <f t="shared" si="29"/>
        <v>0</v>
      </c>
      <c r="W65" s="105"/>
      <c r="X65" s="171">
        <f t="shared" si="12"/>
        <v>0</v>
      </c>
      <c r="Y65" s="171">
        <f t="shared" si="13"/>
        <v>0</v>
      </c>
      <c r="Z65" s="105"/>
      <c r="AA65" s="105"/>
      <c r="AB65" s="105"/>
      <c r="AC65" s="98">
        <f t="shared" si="14"/>
        <v>0</v>
      </c>
      <c r="AD65" s="98">
        <f t="shared" si="15"/>
        <v>0</v>
      </c>
      <c r="AE65" s="98">
        <f t="shared" si="16"/>
        <v>0</v>
      </c>
      <c r="AF65" s="98">
        <f t="shared" si="17"/>
        <v>0</v>
      </c>
      <c r="AG65" s="98">
        <f t="shared" si="18"/>
        <v>0</v>
      </c>
      <c r="AH65" s="98">
        <f t="shared" si="19"/>
        <v>0</v>
      </c>
      <c r="AI65" s="98">
        <f t="shared" si="20"/>
        <v>0</v>
      </c>
      <c r="AJ65" s="105">
        <f t="shared" si="30"/>
        <v>0</v>
      </c>
      <c r="AK65" s="98">
        <f t="shared" si="21"/>
        <v>0</v>
      </c>
      <c r="AL65" s="98">
        <f t="shared" si="22"/>
        <v>0</v>
      </c>
      <c r="AM65" s="150">
        <f t="shared" si="23"/>
        <v>0</v>
      </c>
      <c r="AN65" s="150">
        <f t="shared" si="24"/>
        <v>0</v>
      </c>
      <c r="AO65" s="105"/>
      <c r="AP65" s="102">
        <f t="shared" si="2"/>
        <v>0</v>
      </c>
    </row>
    <row r="66" spans="1:43" s="18" customFormat="1" ht="15" hidden="1" customHeight="1" x14ac:dyDescent="0.2">
      <c r="A66" s="36"/>
      <c r="B66" s="117"/>
      <c r="C66" s="104"/>
      <c r="D66" s="104"/>
      <c r="E66" s="104"/>
      <c r="F66" s="118"/>
      <c r="G66" s="96">
        <f t="shared" si="4"/>
        <v>0</v>
      </c>
      <c r="H66" s="98"/>
      <c r="I66" s="98"/>
      <c r="J66" s="103">
        <f t="shared" si="25"/>
        <v>0</v>
      </c>
      <c r="K66" s="103">
        <f t="shared" si="26"/>
        <v>0</v>
      </c>
      <c r="L66" s="103">
        <f t="shared" si="27"/>
        <v>0</v>
      </c>
      <c r="M66" s="103">
        <f t="shared" si="28"/>
        <v>0</v>
      </c>
      <c r="N66" s="98">
        <f t="shared" si="5"/>
        <v>0</v>
      </c>
      <c r="O66" s="98">
        <f t="shared" si="6"/>
        <v>0</v>
      </c>
      <c r="P66" s="98">
        <f t="shared" si="7"/>
        <v>0</v>
      </c>
      <c r="Q66" s="98"/>
      <c r="R66" s="98">
        <f t="shared" si="8"/>
        <v>0</v>
      </c>
      <c r="S66" s="98">
        <f t="shared" si="9"/>
        <v>0</v>
      </c>
      <c r="T66" s="150">
        <f t="shared" si="10"/>
        <v>0</v>
      </c>
      <c r="U66" s="150">
        <f t="shared" si="11"/>
        <v>0</v>
      </c>
      <c r="V66" s="99">
        <f t="shared" si="29"/>
        <v>0</v>
      </c>
      <c r="W66" s="105"/>
      <c r="X66" s="171">
        <f t="shared" si="12"/>
        <v>0</v>
      </c>
      <c r="Y66" s="171">
        <f t="shared" si="13"/>
        <v>0</v>
      </c>
      <c r="Z66" s="105"/>
      <c r="AA66" s="105"/>
      <c r="AB66" s="105"/>
      <c r="AC66" s="98">
        <f t="shared" si="14"/>
        <v>0</v>
      </c>
      <c r="AD66" s="98">
        <f t="shared" si="15"/>
        <v>0</v>
      </c>
      <c r="AE66" s="98">
        <f t="shared" si="16"/>
        <v>0</v>
      </c>
      <c r="AF66" s="98">
        <f t="shared" si="17"/>
        <v>0</v>
      </c>
      <c r="AG66" s="98">
        <f t="shared" si="18"/>
        <v>0</v>
      </c>
      <c r="AH66" s="98">
        <f t="shared" si="19"/>
        <v>0</v>
      </c>
      <c r="AI66" s="98">
        <f t="shared" si="20"/>
        <v>0</v>
      </c>
      <c r="AJ66" s="105">
        <f t="shared" si="30"/>
        <v>0</v>
      </c>
      <c r="AK66" s="98">
        <f t="shared" si="21"/>
        <v>0</v>
      </c>
      <c r="AL66" s="98">
        <f t="shared" si="22"/>
        <v>0</v>
      </c>
      <c r="AM66" s="150">
        <f t="shared" si="23"/>
        <v>0</v>
      </c>
      <c r="AN66" s="150">
        <f t="shared" si="24"/>
        <v>0</v>
      </c>
      <c r="AO66" s="105"/>
      <c r="AP66" s="102">
        <f t="shared" si="2"/>
        <v>0</v>
      </c>
    </row>
    <row r="67" spans="1:43" s="18" customFormat="1" ht="15.75" hidden="1" x14ac:dyDescent="0.2">
      <c r="A67" s="36"/>
      <c r="B67" s="107" t="s">
        <v>159</v>
      </c>
      <c r="C67" s="104"/>
      <c r="D67" s="104" t="s">
        <v>154</v>
      </c>
      <c r="E67" s="104" t="s">
        <v>154</v>
      </c>
      <c r="F67" s="97" t="s">
        <v>0</v>
      </c>
      <c r="G67" s="96">
        <f t="shared" si="4"/>
        <v>55717</v>
      </c>
      <c r="H67" s="98">
        <v>55717</v>
      </c>
      <c r="I67" s="98"/>
      <c r="J67" s="103">
        <f t="shared" si="25"/>
        <v>0</v>
      </c>
      <c r="K67" s="103">
        <f t="shared" si="26"/>
        <v>0</v>
      </c>
      <c r="L67" s="103">
        <f t="shared" si="27"/>
        <v>0</v>
      </c>
      <c r="M67" s="103">
        <f t="shared" si="28"/>
        <v>0</v>
      </c>
      <c r="N67" s="98">
        <f t="shared" si="5"/>
        <v>55717</v>
      </c>
      <c r="O67" s="98">
        <f t="shared" si="6"/>
        <v>58670.000999999997</v>
      </c>
      <c r="P67" s="98">
        <f t="shared" si="7"/>
        <v>61662.17105099999</v>
      </c>
      <c r="Q67" s="98"/>
      <c r="R67" s="98">
        <f t="shared" si="8"/>
        <v>0</v>
      </c>
      <c r="S67" s="98">
        <f t="shared" si="9"/>
        <v>0</v>
      </c>
      <c r="T67" s="150">
        <f t="shared" si="10"/>
        <v>58670.000999999997</v>
      </c>
      <c r="U67" s="150">
        <f t="shared" si="11"/>
        <v>61662.17105099999</v>
      </c>
      <c r="V67" s="99">
        <f t="shared" si="29"/>
        <v>0</v>
      </c>
      <c r="W67" s="105"/>
      <c r="X67" s="171">
        <f t="shared" si="12"/>
        <v>0</v>
      </c>
      <c r="Y67" s="171">
        <f t="shared" si="13"/>
        <v>0</v>
      </c>
      <c r="Z67" s="105"/>
      <c r="AA67" s="105"/>
      <c r="AB67" s="105"/>
      <c r="AC67" s="98">
        <f t="shared" si="14"/>
        <v>0</v>
      </c>
      <c r="AD67" s="98">
        <f t="shared" si="15"/>
        <v>0</v>
      </c>
      <c r="AE67" s="98">
        <f t="shared" si="16"/>
        <v>0</v>
      </c>
      <c r="AF67" s="98">
        <f t="shared" si="17"/>
        <v>0</v>
      </c>
      <c r="AG67" s="98">
        <f t="shared" si="18"/>
        <v>0</v>
      </c>
      <c r="AH67" s="98">
        <f t="shared" si="19"/>
        <v>0</v>
      </c>
      <c r="AI67" s="98">
        <f t="shared" si="20"/>
        <v>0</v>
      </c>
      <c r="AJ67" s="105">
        <f t="shared" si="30"/>
        <v>0</v>
      </c>
      <c r="AK67" s="98">
        <f t="shared" si="21"/>
        <v>0</v>
      </c>
      <c r="AL67" s="98">
        <f t="shared" si="22"/>
        <v>0</v>
      </c>
      <c r="AM67" s="150">
        <f t="shared" si="23"/>
        <v>0</v>
      </c>
      <c r="AN67" s="150">
        <f t="shared" si="24"/>
        <v>0</v>
      </c>
      <c r="AO67" s="105">
        <f>AB67</f>
        <v>0</v>
      </c>
      <c r="AP67" s="102">
        <f t="shared" si="2"/>
        <v>55717</v>
      </c>
    </row>
    <row r="68" spans="1:43" s="179" customFormat="1" ht="15.75" hidden="1" x14ac:dyDescent="0.2">
      <c r="A68" s="135"/>
      <c r="B68" s="174" t="s">
        <v>160</v>
      </c>
      <c r="C68" s="175"/>
      <c r="D68" s="175"/>
      <c r="E68" s="175"/>
      <c r="F68" s="176" t="s">
        <v>278</v>
      </c>
      <c r="G68" s="99">
        <f t="shared" si="4"/>
        <v>95667702</v>
      </c>
      <c r="H68" s="99">
        <f>H69</f>
        <v>95667702</v>
      </c>
      <c r="I68" s="99">
        <f>I69</f>
        <v>62802124</v>
      </c>
      <c r="J68" s="105">
        <f t="shared" si="25"/>
        <v>13816467.279999999</v>
      </c>
      <c r="K68" s="105">
        <f t="shared" si="26"/>
        <v>76618591.280000001</v>
      </c>
      <c r="L68" s="105">
        <f t="shared" si="27"/>
        <v>82748078.582400009</v>
      </c>
      <c r="M68" s="105">
        <f t="shared" si="28"/>
        <v>89119680.633244812</v>
      </c>
      <c r="N68" s="105">
        <f t="shared" si="5"/>
        <v>8683219.7199999988</v>
      </c>
      <c r="O68" s="105">
        <f t="shared" si="6"/>
        <v>9143430.3651599977</v>
      </c>
      <c r="P68" s="105">
        <f t="shared" si="7"/>
        <v>9609745.3137831576</v>
      </c>
      <c r="Q68" s="99">
        <f>Q69</f>
        <v>10365891</v>
      </c>
      <c r="R68" s="105">
        <f t="shared" si="8"/>
        <v>11195162.280000001</v>
      </c>
      <c r="S68" s="105">
        <f t="shared" si="9"/>
        <v>11878067.17908</v>
      </c>
      <c r="T68" s="122">
        <f t="shared" si="10"/>
        <v>103086671.22756001</v>
      </c>
      <c r="U68" s="122">
        <f t="shared" si="11"/>
        <v>110607493.12610796</v>
      </c>
      <c r="V68" s="99">
        <f>V69</f>
        <v>1403171</v>
      </c>
      <c r="W68" s="99">
        <f>W69</f>
        <v>130197</v>
      </c>
      <c r="X68" s="177">
        <f t="shared" si="12"/>
        <v>137097.44099999999</v>
      </c>
      <c r="Y68" s="177">
        <f t="shared" si="13"/>
        <v>144089.41049099999</v>
      </c>
      <c r="Z68" s="99">
        <f>Z69</f>
        <v>130197</v>
      </c>
      <c r="AA68" s="99">
        <f>AA69</f>
        <v>1272974</v>
      </c>
      <c r="AB68" s="99">
        <f>AB69</f>
        <v>111455</v>
      </c>
      <c r="AC68" s="105">
        <f t="shared" si="14"/>
        <v>24520.1</v>
      </c>
      <c r="AD68" s="105">
        <f t="shared" si="15"/>
        <v>135975.1</v>
      </c>
      <c r="AE68" s="105">
        <f t="shared" si="16"/>
        <v>146853.10800000001</v>
      </c>
      <c r="AF68" s="105">
        <f t="shared" si="17"/>
        <v>158160.79731600001</v>
      </c>
      <c r="AG68" s="105">
        <f t="shared" si="18"/>
        <v>1251118.8999999999</v>
      </c>
      <c r="AH68" s="105">
        <f t="shared" si="19"/>
        <v>1317428.2016999999</v>
      </c>
      <c r="AI68" s="105">
        <f t="shared" si="20"/>
        <v>1384617.0399866998</v>
      </c>
      <c r="AJ68" s="99">
        <f>AJ69</f>
        <v>16077</v>
      </c>
      <c r="AK68" s="105">
        <f t="shared" si="21"/>
        <v>17363.16</v>
      </c>
      <c r="AL68" s="105">
        <f t="shared" si="22"/>
        <v>18422.312759999997</v>
      </c>
      <c r="AM68" s="122">
        <f t="shared" si="23"/>
        <v>1481644.4696999998</v>
      </c>
      <c r="AN68" s="122">
        <f t="shared" si="24"/>
        <v>1561200.1500626998</v>
      </c>
      <c r="AO68" s="99">
        <f>AO69</f>
        <v>130197</v>
      </c>
      <c r="AP68" s="178">
        <f t="shared" si="2"/>
        <v>97070873</v>
      </c>
    </row>
    <row r="69" spans="1:43" s="18" customFormat="1" ht="15.75" hidden="1" x14ac:dyDescent="0.2">
      <c r="A69" s="36"/>
      <c r="B69" s="93" t="s">
        <v>162</v>
      </c>
      <c r="C69" s="104"/>
      <c r="D69" s="104"/>
      <c r="E69" s="104"/>
      <c r="F69" s="95" t="s">
        <v>247</v>
      </c>
      <c r="G69" s="96">
        <f t="shared" si="4"/>
        <v>95667702</v>
      </c>
      <c r="H69" s="96">
        <f>H73+H75+H78+H79+H80+H84+H81+H83+H85+H87</f>
        <v>95667702</v>
      </c>
      <c r="I69" s="96">
        <f>I73+I75+I78+I79+I80+I84+I81+I83+I85+I87</f>
        <v>62802124</v>
      </c>
      <c r="J69" s="103">
        <f t="shared" si="25"/>
        <v>13816467.279999999</v>
      </c>
      <c r="K69" s="103">
        <f t="shared" si="26"/>
        <v>76618591.280000001</v>
      </c>
      <c r="L69" s="103">
        <f t="shared" si="27"/>
        <v>82748078.582400009</v>
      </c>
      <c r="M69" s="103">
        <f t="shared" si="28"/>
        <v>89119680.633244812</v>
      </c>
      <c r="N69" s="98">
        <f t="shared" si="5"/>
        <v>8683219.7199999988</v>
      </c>
      <c r="O69" s="98">
        <f t="shared" si="6"/>
        <v>9143430.3651599977</v>
      </c>
      <c r="P69" s="98">
        <f t="shared" si="7"/>
        <v>9609745.3137831576</v>
      </c>
      <c r="Q69" s="96">
        <f>Q73+Q75+Q78+Q79+Q80+Q84+Q81+Q83+Q85+Q87</f>
        <v>10365891</v>
      </c>
      <c r="R69" s="98">
        <f t="shared" si="8"/>
        <v>11195162.280000001</v>
      </c>
      <c r="S69" s="98">
        <f t="shared" si="9"/>
        <v>11878067.17908</v>
      </c>
      <c r="T69" s="150">
        <f t="shared" si="10"/>
        <v>103086671.22756001</v>
      </c>
      <c r="U69" s="150">
        <f t="shared" si="11"/>
        <v>110607493.12610796</v>
      </c>
      <c r="V69" s="96">
        <f>V73+V75+V78+V79+V80+V84+V81+V83+V85+V87</f>
        <v>1403171</v>
      </c>
      <c r="W69" s="96">
        <f>W73+W75+W78+W79+W80+W84+W81+W83+W85+W87</f>
        <v>130197</v>
      </c>
      <c r="X69" s="171">
        <f t="shared" si="12"/>
        <v>137097.44099999999</v>
      </c>
      <c r="Y69" s="171">
        <f t="shared" si="13"/>
        <v>144089.41049099999</v>
      </c>
      <c r="Z69" s="96">
        <f>Z73+Z75+Z78+Z79+Z80+Z84+Z81+Z83+Z85+Z87</f>
        <v>130197</v>
      </c>
      <c r="AA69" s="96">
        <f>AA73+AA75+AA78+AA79+AA80+AA84+AA81+AA83+AA85+AA87</f>
        <v>1272974</v>
      </c>
      <c r="AB69" s="96">
        <f>AB73+AB75+AB78+AB79+AB80+AB84+AB81+AB83+AB85+AB87</f>
        <v>111455</v>
      </c>
      <c r="AC69" s="98">
        <f t="shared" si="14"/>
        <v>24520.1</v>
      </c>
      <c r="AD69" s="98">
        <f t="shared" si="15"/>
        <v>135975.1</v>
      </c>
      <c r="AE69" s="98">
        <f t="shared" si="16"/>
        <v>146853.10800000001</v>
      </c>
      <c r="AF69" s="98">
        <f t="shared" si="17"/>
        <v>158160.79731600001</v>
      </c>
      <c r="AG69" s="98">
        <f t="shared" si="18"/>
        <v>1251118.8999999999</v>
      </c>
      <c r="AH69" s="98">
        <f t="shared" si="19"/>
        <v>1317428.2016999999</v>
      </c>
      <c r="AI69" s="98">
        <f t="shared" si="20"/>
        <v>1384617.0399866998</v>
      </c>
      <c r="AJ69" s="96">
        <f>AJ73+AJ75+AJ78+AJ79+AJ80+AJ84+AJ81+AJ83+AJ85+AJ87</f>
        <v>16077</v>
      </c>
      <c r="AK69" s="98">
        <f t="shared" si="21"/>
        <v>17363.16</v>
      </c>
      <c r="AL69" s="98">
        <f t="shared" si="22"/>
        <v>18422.312759999997</v>
      </c>
      <c r="AM69" s="150">
        <f t="shared" si="23"/>
        <v>1481644.4696999998</v>
      </c>
      <c r="AN69" s="150">
        <f t="shared" si="24"/>
        <v>1561200.1500626998</v>
      </c>
      <c r="AO69" s="96">
        <f>AO73+AO75+AO78+AO79+AO80+AO84+AO81+AO83+AO85+AO87</f>
        <v>130197</v>
      </c>
      <c r="AP69" s="96">
        <f>AP73+AP75+AP78+AP79+AP80+AP84+AP81+AP83+AP85+AP87</f>
        <v>97070873</v>
      </c>
      <c r="AQ69" s="60"/>
    </row>
    <row r="70" spans="1:43" s="18" customFormat="1" ht="31.5" hidden="1" x14ac:dyDescent="0.2">
      <c r="A70" s="36"/>
      <c r="B70" s="93"/>
      <c r="C70" s="104"/>
      <c r="D70" s="104"/>
      <c r="E70" s="104"/>
      <c r="F70" s="97" t="s">
        <v>248</v>
      </c>
      <c r="G70" s="96">
        <f t="shared" si="4"/>
        <v>36337500</v>
      </c>
      <c r="H70" s="119">
        <f>H76</f>
        <v>36337500</v>
      </c>
      <c r="I70" s="119">
        <f>I76</f>
        <v>29784836</v>
      </c>
      <c r="J70" s="103">
        <f t="shared" si="25"/>
        <v>6552663.9199999999</v>
      </c>
      <c r="K70" s="103">
        <f t="shared" si="26"/>
        <v>36337499.920000002</v>
      </c>
      <c r="L70" s="103">
        <f t="shared" si="27"/>
        <v>39244499.913600005</v>
      </c>
      <c r="M70" s="103">
        <f t="shared" si="28"/>
        <v>42266326.406947203</v>
      </c>
      <c r="N70" s="98">
        <f t="shared" si="5"/>
        <v>7.9999998211860657E-2</v>
      </c>
      <c r="O70" s="98">
        <f t="shared" si="6"/>
        <v>8.4239998117089265E-2</v>
      </c>
      <c r="P70" s="98">
        <f t="shared" si="7"/>
        <v>8.8536238021060809E-2</v>
      </c>
      <c r="Q70" s="98"/>
      <c r="R70" s="98">
        <f t="shared" si="8"/>
        <v>0</v>
      </c>
      <c r="S70" s="98">
        <f t="shared" si="9"/>
        <v>0</v>
      </c>
      <c r="T70" s="150">
        <f t="shared" si="10"/>
        <v>39244499.997840002</v>
      </c>
      <c r="U70" s="150">
        <f t="shared" si="11"/>
        <v>42266326.495483443</v>
      </c>
      <c r="V70" s="108">
        <f t="shared" si="29"/>
        <v>0</v>
      </c>
      <c r="W70" s="103">
        <f>W76</f>
        <v>0</v>
      </c>
      <c r="X70" s="171">
        <f t="shared" si="12"/>
        <v>0</v>
      </c>
      <c r="Y70" s="171">
        <f t="shared" si="13"/>
        <v>0</v>
      </c>
      <c r="Z70" s="103"/>
      <c r="AA70" s="103">
        <f>AA76</f>
        <v>0</v>
      </c>
      <c r="AB70" s="103">
        <f>AB76</f>
        <v>0</v>
      </c>
      <c r="AC70" s="98">
        <f t="shared" si="14"/>
        <v>0</v>
      </c>
      <c r="AD70" s="98">
        <f t="shared" si="15"/>
        <v>0</v>
      </c>
      <c r="AE70" s="98">
        <f t="shared" si="16"/>
        <v>0</v>
      </c>
      <c r="AF70" s="98">
        <f t="shared" si="17"/>
        <v>0</v>
      </c>
      <c r="AG70" s="98">
        <f t="shared" si="18"/>
        <v>0</v>
      </c>
      <c r="AH70" s="98">
        <f t="shared" si="19"/>
        <v>0</v>
      </c>
      <c r="AI70" s="98">
        <f t="shared" si="20"/>
        <v>0</v>
      </c>
      <c r="AJ70" s="103">
        <f>AJ76</f>
        <v>0</v>
      </c>
      <c r="AK70" s="98">
        <f t="shared" si="21"/>
        <v>0</v>
      </c>
      <c r="AL70" s="98">
        <f t="shared" si="22"/>
        <v>0</v>
      </c>
      <c r="AM70" s="150">
        <f t="shared" si="23"/>
        <v>0</v>
      </c>
      <c r="AN70" s="150">
        <f t="shared" si="24"/>
        <v>0</v>
      </c>
      <c r="AO70" s="103">
        <f>AO76</f>
        <v>0</v>
      </c>
      <c r="AP70" s="102">
        <f t="shared" si="2"/>
        <v>36337500</v>
      </c>
    </row>
    <row r="71" spans="1:43" s="18" customFormat="1" ht="63" hidden="1" x14ac:dyDescent="0.2">
      <c r="A71" s="36"/>
      <c r="B71" s="93"/>
      <c r="C71" s="104"/>
      <c r="D71" s="104"/>
      <c r="E71" s="104"/>
      <c r="F71" s="97" t="s">
        <v>163</v>
      </c>
      <c r="G71" s="96">
        <f t="shared" si="4"/>
        <v>938740</v>
      </c>
      <c r="H71" s="96">
        <f>H86</f>
        <v>938740</v>
      </c>
      <c r="I71" s="96">
        <f>I86</f>
        <v>769459</v>
      </c>
      <c r="J71" s="103">
        <f t="shared" si="25"/>
        <v>169280.98</v>
      </c>
      <c r="K71" s="103">
        <f t="shared" si="26"/>
        <v>938739.98</v>
      </c>
      <c r="L71" s="103">
        <f t="shared" si="27"/>
        <v>1013839.1784000001</v>
      </c>
      <c r="M71" s="103">
        <f t="shared" si="28"/>
        <v>1091904.7951368</v>
      </c>
      <c r="N71" s="98">
        <f t="shared" si="5"/>
        <v>2.0000000018626451E-2</v>
      </c>
      <c r="O71" s="98">
        <f t="shared" si="6"/>
        <v>2.1060000019613653E-2</v>
      </c>
      <c r="P71" s="98">
        <f t="shared" si="7"/>
        <v>2.2134060020613949E-2</v>
      </c>
      <c r="Q71" s="96">
        <f>Q82</f>
        <v>0</v>
      </c>
      <c r="R71" s="98">
        <f t="shared" si="8"/>
        <v>0</v>
      </c>
      <c r="S71" s="98">
        <f t="shared" si="9"/>
        <v>0</v>
      </c>
      <c r="T71" s="150">
        <f t="shared" si="10"/>
        <v>1013839.1994600001</v>
      </c>
      <c r="U71" s="150">
        <f t="shared" si="11"/>
        <v>1091904.8172708601</v>
      </c>
      <c r="V71" s="108">
        <f t="shared" si="29"/>
        <v>0</v>
      </c>
      <c r="W71" s="103"/>
      <c r="X71" s="171">
        <f t="shared" si="12"/>
        <v>0</v>
      </c>
      <c r="Y71" s="171">
        <f t="shared" si="13"/>
        <v>0</v>
      </c>
      <c r="Z71" s="103"/>
      <c r="AA71" s="103"/>
      <c r="AB71" s="103"/>
      <c r="AC71" s="98">
        <f t="shared" si="14"/>
        <v>0</v>
      </c>
      <c r="AD71" s="98">
        <f t="shared" si="15"/>
        <v>0</v>
      </c>
      <c r="AE71" s="98">
        <f t="shared" si="16"/>
        <v>0</v>
      </c>
      <c r="AF71" s="98">
        <f t="shared" si="17"/>
        <v>0</v>
      </c>
      <c r="AG71" s="98">
        <f t="shared" si="18"/>
        <v>0</v>
      </c>
      <c r="AH71" s="98">
        <f t="shared" si="19"/>
        <v>0</v>
      </c>
      <c r="AI71" s="98">
        <f t="shared" si="20"/>
        <v>0</v>
      </c>
      <c r="AJ71" s="103"/>
      <c r="AK71" s="98">
        <f t="shared" si="21"/>
        <v>0</v>
      </c>
      <c r="AL71" s="98">
        <f t="shared" si="22"/>
        <v>0</v>
      </c>
      <c r="AM71" s="150">
        <f t="shared" si="23"/>
        <v>0</v>
      </c>
      <c r="AN71" s="150">
        <f t="shared" si="24"/>
        <v>0</v>
      </c>
      <c r="AO71" s="103"/>
      <c r="AP71" s="102">
        <f t="shared" si="2"/>
        <v>938740</v>
      </c>
    </row>
    <row r="72" spans="1:43" s="18" customFormat="1" ht="78.75" hidden="1" x14ac:dyDescent="0.2">
      <c r="A72" s="36"/>
      <c r="B72" s="93"/>
      <c r="C72" s="104"/>
      <c r="D72" s="104"/>
      <c r="E72" s="104"/>
      <c r="F72" s="97" t="s">
        <v>164</v>
      </c>
      <c r="G72" s="96">
        <f t="shared" si="4"/>
        <v>247682</v>
      </c>
      <c r="H72" s="96">
        <f>H77+H74</f>
        <v>247682</v>
      </c>
      <c r="I72" s="96">
        <f>I77+I74</f>
        <v>203019</v>
      </c>
      <c r="J72" s="103">
        <f>I72*22%-1</f>
        <v>44663.18</v>
      </c>
      <c r="K72" s="103">
        <f t="shared" si="26"/>
        <v>247682.18</v>
      </c>
      <c r="L72" s="103">
        <f t="shared" si="27"/>
        <v>267496.75440000003</v>
      </c>
      <c r="M72" s="103">
        <f t="shared" si="28"/>
        <v>288094.00448880001</v>
      </c>
      <c r="N72" s="98">
        <f t="shared" si="5"/>
        <v>-0.17999999999301508</v>
      </c>
      <c r="O72" s="98">
        <f t="shared" si="6"/>
        <v>-0.18953999999264487</v>
      </c>
      <c r="P72" s="98">
        <f t="shared" si="7"/>
        <v>-0.19920653999226975</v>
      </c>
      <c r="Q72" s="96">
        <f>Q77+Q74</f>
        <v>0</v>
      </c>
      <c r="R72" s="98">
        <f t="shared" si="8"/>
        <v>0</v>
      </c>
      <c r="S72" s="98">
        <f t="shared" si="9"/>
        <v>0</v>
      </c>
      <c r="T72" s="150">
        <f t="shared" si="10"/>
        <v>267496.56486000004</v>
      </c>
      <c r="U72" s="150">
        <f t="shared" si="11"/>
        <v>288093.80528226</v>
      </c>
      <c r="V72" s="96">
        <f>V77+V74</f>
        <v>130197</v>
      </c>
      <c r="W72" s="96">
        <f>W77+W74</f>
        <v>130197</v>
      </c>
      <c r="X72" s="171">
        <f t="shared" si="12"/>
        <v>137097.44099999999</v>
      </c>
      <c r="Y72" s="171">
        <f t="shared" si="13"/>
        <v>144089.41049099999</v>
      </c>
      <c r="Z72" s="96">
        <f>Z77+Z74</f>
        <v>130197</v>
      </c>
      <c r="AA72" s="96">
        <f>AA77+AA74</f>
        <v>0</v>
      </c>
      <c r="AB72" s="96">
        <f>AB77+AB74</f>
        <v>0</v>
      </c>
      <c r="AC72" s="98">
        <f t="shared" si="14"/>
        <v>0</v>
      </c>
      <c r="AD72" s="98">
        <f t="shared" si="15"/>
        <v>0</v>
      </c>
      <c r="AE72" s="98">
        <f t="shared" si="16"/>
        <v>0</v>
      </c>
      <c r="AF72" s="98">
        <f t="shared" si="17"/>
        <v>0</v>
      </c>
      <c r="AG72" s="98">
        <f t="shared" si="18"/>
        <v>130197</v>
      </c>
      <c r="AH72" s="98">
        <f t="shared" si="19"/>
        <v>137097.44099999999</v>
      </c>
      <c r="AI72" s="98">
        <f t="shared" si="20"/>
        <v>144089.41049099999</v>
      </c>
      <c r="AJ72" s="96">
        <f>AJ77+AJ74</f>
        <v>0</v>
      </c>
      <c r="AK72" s="98">
        <f t="shared" si="21"/>
        <v>0</v>
      </c>
      <c r="AL72" s="98">
        <f t="shared" si="22"/>
        <v>0</v>
      </c>
      <c r="AM72" s="150">
        <f t="shared" si="23"/>
        <v>137097.44099999999</v>
      </c>
      <c r="AN72" s="150">
        <f t="shared" si="24"/>
        <v>144089.41049099999</v>
      </c>
      <c r="AO72" s="96">
        <f>AO77+AO74</f>
        <v>130197</v>
      </c>
      <c r="AP72" s="102">
        <f t="shared" si="2"/>
        <v>377879</v>
      </c>
    </row>
    <row r="73" spans="1:43" s="18" customFormat="1" ht="15.75" hidden="1" x14ac:dyDescent="0.2">
      <c r="A73" s="36"/>
      <c r="B73" s="107" t="s">
        <v>165</v>
      </c>
      <c r="C73" s="104"/>
      <c r="D73" s="114" t="s">
        <v>166</v>
      </c>
      <c r="E73" s="114" t="s">
        <v>167</v>
      </c>
      <c r="F73" s="97" t="s">
        <v>168</v>
      </c>
      <c r="G73" s="96">
        <f t="shared" si="4"/>
        <v>26779007</v>
      </c>
      <c r="H73" s="98">
        <v>26779007</v>
      </c>
      <c r="I73" s="98">
        <v>15796970</v>
      </c>
      <c r="J73" s="103">
        <f t="shared" si="25"/>
        <v>3475333.4</v>
      </c>
      <c r="K73" s="103">
        <f t="shared" si="26"/>
        <v>19272303.399999999</v>
      </c>
      <c r="L73" s="103">
        <f t="shared" si="27"/>
        <v>20814087.671999998</v>
      </c>
      <c r="M73" s="103">
        <f t="shared" si="28"/>
        <v>22416772.422743998</v>
      </c>
      <c r="N73" s="98">
        <f t="shared" si="5"/>
        <v>2586159.6000000015</v>
      </c>
      <c r="O73" s="98">
        <f t="shared" si="6"/>
        <v>2723226.0588000016</v>
      </c>
      <c r="P73" s="98">
        <f t="shared" si="7"/>
        <v>2862110.5877988017</v>
      </c>
      <c r="Q73" s="98">
        <v>4920544</v>
      </c>
      <c r="R73" s="98">
        <f t="shared" si="8"/>
        <v>5314187.5200000005</v>
      </c>
      <c r="S73" s="98">
        <f t="shared" si="9"/>
        <v>5638352.9587200005</v>
      </c>
      <c r="T73" s="150">
        <f t="shared" si="10"/>
        <v>28851501.250799999</v>
      </c>
      <c r="U73" s="150">
        <f t="shared" si="11"/>
        <v>30917235.969262801</v>
      </c>
      <c r="V73" s="108">
        <f t="shared" si="29"/>
        <v>1017206</v>
      </c>
      <c r="W73" s="103">
        <v>17206</v>
      </c>
      <c r="X73" s="171">
        <f t="shared" si="12"/>
        <v>18117.917999999998</v>
      </c>
      <c r="Y73" s="171">
        <f t="shared" si="13"/>
        <v>19041.931817999997</v>
      </c>
      <c r="Z73" s="103">
        <v>17206</v>
      </c>
      <c r="AA73" s="103">
        <v>1000000</v>
      </c>
      <c r="AB73" s="103"/>
      <c r="AC73" s="98">
        <f t="shared" si="14"/>
        <v>0</v>
      </c>
      <c r="AD73" s="98">
        <f t="shared" si="15"/>
        <v>0</v>
      </c>
      <c r="AE73" s="98">
        <f t="shared" si="16"/>
        <v>0</v>
      </c>
      <c r="AF73" s="98">
        <f t="shared" si="17"/>
        <v>0</v>
      </c>
      <c r="AG73" s="98">
        <f t="shared" si="18"/>
        <v>1017206</v>
      </c>
      <c r="AH73" s="98">
        <f t="shared" si="19"/>
        <v>1071117.9179999998</v>
      </c>
      <c r="AI73" s="98">
        <f t="shared" si="20"/>
        <v>1125744.9318179998</v>
      </c>
      <c r="AJ73" s="103"/>
      <c r="AK73" s="98">
        <f t="shared" si="21"/>
        <v>0</v>
      </c>
      <c r="AL73" s="98">
        <f t="shared" si="22"/>
        <v>0</v>
      </c>
      <c r="AM73" s="150">
        <f t="shared" si="23"/>
        <v>1071117.9179999998</v>
      </c>
      <c r="AN73" s="150">
        <f t="shared" si="24"/>
        <v>1125744.9318179998</v>
      </c>
      <c r="AO73" s="103">
        <v>17206</v>
      </c>
      <c r="AP73" s="102">
        <f t="shared" si="2"/>
        <v>27796213</v>
      </c>
    </row>
    <row r="74" spans="1:43" s="18" customFormat="1" ht="78.75" hidden="1" x14ac:dyDescent="0.2">
      <c r="A74" s="36"/>
      <c r="B74" s="107"/>
      <c r="C74" s="104"/>
      <c r="D74" s="114"/>
      <c r="E74" s="114"/>
      <c r="F74" s="97" t="s">
        <v>164</v>
      </c>
      <c r="G74" s="96">
        <f t="shared" si="4"/>
        <v>34412</v>
      </c>
      <c r="H74" s="120">
        <v>34412</v>
      </c>
      <c r="I74" s="98">
        <v>28207</v>
      </c>
      <c r="J74" s="103">
        <f>I74*22%-1</f>
        <v>6204.54</v>
      </c>
      <c r="K74" s="103">
        <f t="shared" si="26"/>
        <v>34411.54</v>
      </c>
      <c r="L74" s="103">
        <f t="shared" si="27"/>
        <v>37164.463200000006</v>
      </c>
      <c r="M74" s="103">
        <f t="shared" si="28"/>
        <v>40026.126866400002</v>
      </c>
      <c r="N74" s="98">
        <f t="shared" si="5"/>
        <v>0.45999999999912689</v>
      </c>
      <c r="O74" s="98">
        <f t="shared" si="6"/>
        <v>0.4843799999990806</v>
      </c>
      <c r="P74" s="98">
        <f t="shared" si="7"/>
        <v>0.50908337999903364</v>
      </c>
      <c r="Q74" s="98"/>
      <c r="R74" s="98">
        <f t="shared" si="8"/>
        <v>0</v>
      </c>
      <c r="S74" s="98">
        <f t="shared" si="9"/>
        <v>0</v>
      </c>
      <c r="T74" s="150">
        <f t="shared" si="10"/>
        <v>37164.947580000007</v>
      </c>
      <c r="U74" s="150">
        <f t="shared" si="11"/>
        <v>40026.63594978</v>
      </c>
      <c r="V74" s="108">
        <f t="shared" si="29"/>
        <v>17206</v>
      </c>
      <c r="W74" s="103">
        <v>17206</v>
      </c>
      <c r="X74" s="171">
        <f t="shared" si="12"/>
        <v>18117.917999999998</v>
      </c>
      <c r="Y74" s="171">
        <f t="shared" si="13"/>
        <v>19041.931817999997</v>
      </c>
      <c r="Z74" s="103">
        <v>17206</v>
      </c>
      <c r="AA74" s="103"/>
      <c r="AB74" s="103"/>
      <c r="AC74" s="98">
        <f t="shared" si="14"/>
        <v>0</v>
      </c>
      <c r="AD74" s="98">
        <f t="shared" si="15"/>
        <v>0</v>
      </c>
      <c r="AE74" s="98">
        <f t="shared" si="16"/>
        <v>0</v>
      </c>
      <c r="AF74" s="98">
        <f t="shared" si="17"/>
        <v>0</v>
      </c>
      <c r="AG74" s="98">
        <f t="shared" si="18"/>
        <v>17206</v>
      </c>
      <c r="AH74" s="98">
        <f t="shared" si="19"/>
        <v>18117.917999999998</v>
      </c>
      <c r="AI74" s="98">
        <f t="shared" si="20"/>
        <v>19041.931817999997</v>
      </c>
      <c r="AJ74" s="103"/>
      <c r="AK74" s="98">
        <f t="shared" si="21"/>
        <v>0</v>
      </c>
      <c r="AL74" s="98">
        <f t="shared" si="22"/>
        <v>0</v>
      </c>
      <c r="AM74" s="150">
        <f t="shared" si="23"/>
        <v>18117.917999999998</v>
      </c>
      <c r="AN74" s="150">
        <f t="shared" si="24"/>
        <v>19041.931817999997</v>
      </c>
      <c r="AO74" s="103">
        <v>17206</v>
      </c>
      <c r="AP74" s="102">
        <f t="shared" si="2"/>
        <v>51618</v>
      </c>
    </row>
    <row r="75" spans="1:43" s="18" customFormat="1" ht="78.75" hidden="1" x14ac:dyDescent="0.2">
      <c r="A75" s="36"/>
      <c r="B75" s="112" t="s">
        <v>169</v>
      </c>
      <c r="C75" s="114"/>
      <c r="D75" s="114" t="s">
        <v>58</v>
      </c>
      <c r="E75" s="114" t="s">
        <v>170</v>
      </c>
      <c r="F75" s="97" t="s">
        <v>171</v>
      </c>
      <c r="G75" s="96">
        <f t="shared" si="4"/>
        <v>56183679</v>
      </c>
      <c r="H75" s="98">
        <f>56183679</f>
        <v>56183679</v>
      </c>
      <c r="I75" s="98">
        <v>38804465</v>
      </c>
      <c r="J75" s="103">
        <f t="shared" si="25"/>
        <v>8536982.3000000007</v>
      </c>
      <c r="K75" s="103">
        <f t="shared" si="26"/>
        <v>47341447.299999997</v>
      </c>
      <c r="L75" s="103">
        <f t="shared" si="27"/>
        <v>51128763.083999999</v>
      </c>
      <c r="M75" s="103">
        <f t="shared" si="28"/>
        <v>55065677.841467999</v>
      </c>
      <c r="N75" s="98">
        <f t="shared" si="5"/>
        <v>4196379.700000003</v>
      </c>
      <c r="O75" s="98">
        <f t="shared" si="6"/>
        <v>4418787.8241000026</v>
      </c>
      <c r="P75" s="98">
        <f t="shared" si="7"/>
        <v>4644146.0031291023</v>
      </c>
      <c r="Q75" s="103">
        <v>4645852</v>
      </c>
      <c r="R75" s="98">
        <f t="shared" si="8"/>
        <v>5017520.16</v>
      </c>
      <c r="S75" s="98">
        <f t="shared" si="9"/>
        <v>5323588.8897599997</v>
      </c>
      <c r="T75" s="150">
        <f t="shared" si="10"/>
        <v>60565071.068100005</v>
      </c>
      <c r="U75" s="150">
        <f t="shared" si="11"/>
        <v>65033412.734357104</v>
      </c>
      <c r="V75" s="108">
        <f t="shared" si="29"/>
        <v>181995</v>
      </c>
      <c r="W75" s="103">
        <v>112991</v>
      </c>
      <c r="X75" s="171">
        <f t="shared" si="12"/>
        <v>118979.52299999999</v>
      </c>
      <c r="Y75" s="171">
        <f t="shared" si="13"/>
        <v>125047.47867299998</v>
      </c>
      <c r="Z75" s="103">
        <v>112991</v>
      </c>
      <c r="AA75" s="103">
        <v>69004</v>
      </c>
      <c r="AB75" s="103"/>
      <c r="AC75" s="98">
        <f t="shared" si="14"/>
        <v>0</v>
      </c>
      <c r="AD75" s="98">
        <f t="shared" si="15"/>
        <v>0</v>
      </c>
      <c r="AE75" s="98">
        <f t="shared" si="16"/>
        <v>0</v>
      </c>
      <c r="AF75" s="98">
        <f t="shared" si="17"/>
        <v>0</v>
      </c>
      <c r="AG75" s="98">
        <f t="shared" si="18"/>
        <v>181995</v>
      </c>
      <c r="AH75" s="98">
        <f t="shared" si="19"/>
        <v>191640.73499999999</v>
      </c>
      <c r="AI75" s="98">
        <f t="shared" si="20"/>
        <v>201414.41248499998</v>
      </c>
      <c r="AJ75" s="103"/>
      <c r="AK75" s="98">
        <f t="shared" si="21"/>
        <v>0</v>
      </c>
      <c r="AL75" s="98">
        <f t="shared" si="22"/>
        <v>0</v>
      </c>
      <c r="AM75" s="150">
        <f t="shared" si="23"/>
        <v>191640.73499999999</v>
      </c>
      <c r="AN75" s="150">
        <f t="shared" si="24"/>
        <v>201414.41248499998</v>
      </c>
      <c r="AO75" s="103">
        <v>112991</v>
      </c>
      <c r="AP75" s="102">
        <f t="shared" si="2"/>
        <v>56365674</v>
      </c>
    </row>
    <row r="76" spans="1:43" s="18" customFormat="1" ht="31.5" hidden="1" x14ac:dyDescent="0.2">
      <c r="A76" s="36"/>
      <c r="B76" s="112"/>
      <c r="C76" s="114"/>
      <c r="D76" s="114"/>
      <c r="E76" s="114"/>
      <c r="F76" s="97" t="s">
        <v>249</v>
      </c>
      <c r="G76" s="96">
        <f t="shared" si="4"/>
        <v>36337500</v>
      </c>
      <c r="H76" s="121">
        <v>36337500</v>
      </c>
      <c r="I76" s="103">
        <v>29784836</v>
      </c>
      <c r="J76" s="103">
        <f t="shared" si="25"/>
        <v>6552663.9199999999</v>
      </c>
      <c r="K76" s="103">
        <f t="shared" si="26"/>
        <v>36337499.920000002</v>
      </c>
      <c r="L76" s="103">
        <f t="shared" si="27"/>
        <v>39244499.913600005</v>
      </c>
      <c r="M76" s="103">
        <f t="shared" si="28"/>
        <v>42266326.406947203</v>
      </c>
      <c r="N76" s="98">
        <f t="shared" si="5"/>
        <v>7.9999998211860657E-2</v>
      </c>
      <c r="O76" s="98">
        <f t="shared" si="6"/>
        <v>8.4239998117089265E-2</v>
      </c>
      <c r="P76" s="98">
        <f t="shared" si="7"/>
        <v>8.8536238021060809E-2</v>
      </c>
      <c r="Q76" s="98"/>
      <c r="R76" s="98">
        <f t="shared" si="8"/>
        <v>0</v>
      </c>
      <c r="S76" s="98">
        <f t="shared" si="9"/>
        <v>0</v>
      </c>
      <c r="T76" s="150">
        <f t="shared" si="10"/>
        <v>39244499.997840002</v>
      </c>
      <c r="U76" s="150">
        <f t="shared" si="11"/>
        <v>42266326.495483443</v>
      </c>
      <c r="V76" s="108">
        <f t="shared" si="29"/>
        <v>0</v>
      </c>
      <c r="W76" s="103"/>
      <c r="X76" s="171">
        <f t="shared" si="12"/>
        <v>0</v>
      </c>
      <c r="Y76" s="171">
        <f t="shared" si="13"/>
        <v>0</v>
      </c>
      <c r="Z76" s="103"/>
      <c r="AA76" s="103"/>
      <c r="AB76" s="103"/>
      <c r="AC76" s="98">
        <f t="shared" si="14"/>
        <v>0</v>
      </c>
      <c r="AD76" s="98">
        <f t="shared" si="15"/>
        <v>0</v>
      </c>
      <c r="AE76" s="98">
        <f t="shared" si="16"/>
        <v>0</v>
      </c>
      <c r="AF76" s="98">
        <f t="shared" si="17"/>
        <v>0</v>
      </c>
      <c r="AG76" s="98">
        <f t="shared" si="18"/>
        <v>0</v>
      </c>
      <c r="AH76" s="98">
        <f t="shared" si="19"/>
        <v>0</v>
      </c>
      <c r="AI76" s="98">
        <f t="shared" si="20"/>
        <v>0</v>
      </c>
      <c r="AJ76" s="103"/>
      <c r="AK76" s="98">
        <f t="shared" si="21"/>
        <v>0</v>
      </c>
      <c r="AL76" s="98">
        <f t="shared" si="22"/>
        <v>0</v>
      </c>
      <c r="AM76" s="150">
        <f t="shared" si="23"/>
        <v>0</v>
      </c>
      <c r="AN76" s="150">
        <f t="shared" si="24"/>
        <v>0</v>
      </c>
      <c r="AO76" s="103"/>
      <c r="AP76" s="102">
        <f t="shared" si="2"/>
        <v>36337500</v>
      </c>
    </row>
    <row r="77" spans="1:43" s="18" customFormat="1" ht="78.75" hidden="1" x14ac:dyDescent="0.2">
      <c r="A77" s="36"/>
      <c r="B77" s="112"/>
      <c r="C77" s="114"/>
      <c r="D77" s="114"/>
      <c r="E77" s="114"/>
      <c r="F77" s="97" t="s">
        <v>164</v>
      </c>
      <c r="G77" s="96">
        <f t="shared" si="4"/>
        <v>213270</v>
      </c>
      <c r="H77" s="120">
        <v>213270</v>
      </c>
      <c r="I77" s="98">
        <v>174812</v>
      </c>
      <c r="J77" s="103">
        <f>I77*22%-1</f>
        <v>38457.64</v>
      </c>
      <c r="K77" s="103">
        <f t="shared" si="26"/>
        <v>213269.64</v>
      </c>
      <c r="L77" s="103">
        <f t="shared" si="27"/>
        <v>230331.21120000002</v>
      </c>
      <c r="M77" s="103">
        <f t="shared" si="28"/>
        <v>248066.71446240001</v>
      </c>
      <c r="N77" s="98">
        <f t="shared" si="5"/>
        <v>0.35999999998603016</v>
      </c>
      <c r="O77" s="98">
        <f t="shared" si="6"/>
        <v>0.37907999998528974</v>
      </c>
      <c r="P77" s="98">
        <f t="shared" si="7"/>
        <v>0.39841307998453951</v>
      </c>
      <c r="Q77" s="98"/>
      <c r="R77" s="98">
        <f t="shared" si="8"/>
        <v>0</v>
      </c>
      <c r="S77" s="98">
        <f t="shared" si="9"/>
        <v>0</v>
      </c>
      <c r="T77" s="150">
        <f t="shared" si="10"/>
        <v>230331.59028</v>
      </c>
      <c r="U77" s="150">
        <f t="shared" si="11"/>
        <v>248067.11287548</v>
      </c>
      <c r="V77" s="108">
        <f>AA77+W77</f>
        <v>112991</v>
      </c>
      <c r="W77" s="103">
        <v>112991</v>
      </c>
      <c r="X77" s="171">
        <f t="shared" si="12"/>
        <v>118979.52299999999</v>
      </c>
      <c r="Y77" s="171">
        <f t="shared" si="13"/>
        <v>125047.47867299998</v>
      </c>
      <c r="Z77" s="103">
        <v>112991</v>
      </c>
      <c r="AA77" s="103"/>
      <c r="AB77" s="103"/>
      <c r="AC77" s="98">
        <f t="shared" si="14"/>
        <v>0</v>
      </c>
      <c r="AD77" s="98">
        <f t="shared" si="15"/>
        <v>0</v>
      </c>
      <c r="AE77" s="98">
        <f t="shared" si="16"/>
        <v>0</v>
      </c>
      <c r="AF77" s="98">
        <f t="shared" si="17"/>
        <v>0</v>
      </c>
      <c r="AG77" s="98">
        <f t="shared" si="18"/>
        <v>112991</v>
      </c>
      <c r="AH77" s="98">
        <f t="shared" si="19"/>
        <v>118979.52299999999</v>
      </c>
      <c r="AI77" s="98">
        <f t="shared" si="20"/>
        <v>125047.47867299998</v>
      </c>
      <c r="AJ77" s="103"/>
      <c r="AK77" s="98">
        <f t="shared" si="21"/>
        <v>0</v>
      </c>
      <c r="AL77" s="98">
        <f t="shared" si="22"/>
        <v>0</v>
      </c>
      <c r="AM77" s="150">
        <f t="shared" si="23"/>
        <v>118979.52299999999</v>
      </c>
      <c r="AN77" s="150">
        <f t="shared" si="24"/>
        <v>125047.47867299998</v>
      </c>
      <c r="AO77" s="103">
        <v>112991</v>
      </c>
      <c r="AP77" s="102">
        <f t="shared" si="2"/>
        <v>326261</v>
      </c>
    </row>
    <row r="78" spans="1:43" s="18" customFormat="1" ht="47.25" hidden="1" x14ac:dyDescent="0.2">
      <c r="A78" s="36"/>
      <c r="B78" s="112" t="s">
        <v>172</v>
      </c>
      <c r="C78" s="114"/>
      <c r="D78" s="114" t="s">
        <v>83</v>
      </c>
      <c r="E78" s="114" t="s">
        <v>173</v>
      </c>
      <c r="F78" s="97" t="s">
        <v>174</v>
      </c>
      <c r="G78" s="96">
        <f t="shared" si="4"/>
        <v>4870732</v>
      </c>
      <c r="H78" s="98">
        <v>4870732</v>
      </c>
      <c r="I78" s="98">
        <v>3550690</v>
      </c>
      <c r="J78" s="103">
        <f t="shared" si="25"/>
        <v>781151.8</v>
      </c>
      <c r="K78" s="103">
        <f t="shared" si="26"/>
        <v>4331841.8</v>
      </c>
      <c r="L78" s="103">
        <f t="shared" si="27"/>
        <v>4678389.1440000003</v>
      </c>
      <c r="M78" s="103">
        <f t="shared" si="28"/>
        <v>5038625.1080879997</v>
      </c>
      <c r="N78" s="98">
        <f t="shared" si="5"/>
        <v>172900.20000000019</v>
      </c>
      <c r="O78" s="98">
        <f t="shared" si="6"/>
        <v>182063.91060000018</v>
      </c>
      <c r="P78" s="98">
        <f t="shared" si="7"/>
        <v>191349.17004060018</v>
      </c>
      <c r="Q78" s="98">
        <v>365990</v>
      </c>
      <c r="R78" s="98">
        <f t="shared" si="8"/>
        <v>395269.2</v>
      </c>
      <c r="S78" s="98">
        <f t="shared" si="9"/>
        <v>419380.62119999999</v>
      </c>
      <c r="T78" s="150">
        <f t="shared" si="10"/>
        <v>5255722.2546000006</v>
      </c>
      <c r="U78" s="150">
        <f t="shared" si="11"/>
        <v>5649354.8993285997</v>
      </c>
      <c r="V78" s="108">
        <f t="shared" si="29"/>
        <v>9720</v>
      </c>
      <c r="W78" s="103"/>
      <c r="X78" s="171">
        <f t="shared" si="12"/>
        <v>0</v>
      </c>
      <c r="Y78" s="171">
        <f t="shared" si="13"/>
        <v>0</v>
      </c>
      <c r="Z78" s="103"/>
      <c r="AA78" s="103">
        <v>9720</v>
      </c>
      <c r="AB78" s="103"/>
      <c r="AC78" s="98">
        <f t="shared" si="14"/>
        <v>0</v>
      </c>
      <c r="AD78" s="98">
        <f t="shared" si="15"/>
        <v>0</v>
      </c>
      <c r="AE78" s="98">
        <f t="shared" si="16"/>
        <v>0</v>
      </c>
      <c r="AF78" s="98">
        <f t="shared" si="17"/>
        <v>0</v>
      </c>
      <c r="AG78" s="98">
        <f t="shared" si="18"/>
        <v>9720</v>
      </c>
      <c r="AH78" s="98">
        <f t="shared" si="19"/>
        <v>10235.16</v>
      </c>
      <c r="AI78" s="98">
        <f t="shared" si="20"/>
        <v>10757.15316</v>
      </c>
      <c r="AJ78" s="103"/>
      <c r="AK78" s="98">
        <f t="shared" si="21"/>
        <v>0</v>
      </c>
      <c r="AL78" s="98">
        <f t="shared" si="22"/>
        <v>0</v>
      </c>
      <c r="AM78" s="150">
        <f t="shared" si="23"/>
        <v>10235.16</v>
      </c>
      <c r="AN78" s="150">
        <f t="shared" si="24"/>
        <v>10757.15316</v>
      </c>
      <c r="AO78" s="103"/>
      <c r="AP78" s="102">
        <f t="shared" si="2"/>
        <v>4880452</v>
      </c>
    </row>
    <row r="79" spans="1:43" s="18" customFormat="1" ht="31.5" hidden="1" x14ac:dyDescent="0.2">
      <c r="A79" s="36"/>
      <c r="B79" s="112" t="s">
        <v>175</v>
      </c>
      <c r="C79" s="114"/>
      <c r="D79" s="114" t="s">
        <v>176</v>
      </c>
      <c r="E79" s="114" t="s">
        <v>54</v>
      </c>
      <c r="F79" s="97" t="s">
        <v>177</v>
      </c>
      <c r="G79" s="96">
        <f t="shared" si="4"/>
        <v>1008296</v>
      </c>
      <c r="H79" s="98">
        <v>1008296</v>
      </c>
      <c r="I79" s="98">
        <v>682210</v>
      </c>
      <c r="J79" s="103">
        <f t="shared" si="25"/>
        <v>150086.20000000001</v>
      </c>
      <c r="K79" s="103">
        <f t="shared" si="26"/>
        <v>832296.2</v>
      </c>
      <c r="L79" s="103">
        <f t="shared" si="27"/>
        <v>898879.89600000007</v>
      </c>
      <c r="M79" s="103">
        <f t="shared" si="28"/>
        <v>968093.64799199998</v>
      </c>
      <c r="N79" s="98">
        <f t="shared" si="5"/>
        <v>169999.80000000005</v>
      </c>
      <c r="O79" s="98">
        <f t="shared" si="6"/>
        <v>179009.78940000004</v>
      </c>
      <c r="P79" s="98">
        <f t="shared" si="7"/>
        <v>188139.28865940002</v>
      </c>
      <c r="Q79" s="98">
        <v>6000</v>
      </c>
      <c r="R79" s="98">
        <f t="shared" si="8"/>
        <v>6480</v>
      </c>
      <c r="S79" s="98">
        <f t="shared" si="9"/>
        <v>6875.28</v>
      </c>
      <c r="T79" s="150">
        <f t="shared" si="10"/>
        <v>1084369.6854000001</v>
      </c>
      <c r="U79" s="150">
        <f t="shared" si="11"/>
        <v>1163108.2166514001</v>
      </c>
      <c r="V79" s="108">
        <f t="shared" si="29"/>
        <v>0</v>
      </c>
      <c r="W79" s="103"/>
      <c r="X79" s="171">
        <f t="shared" si="12"/>
        <v>0</v>
      </c>
      <c r="Y79" s="171">
        <f t="shared" si="13"/>
        <v>0</v>
      </c>
      <c r="Z79" s="103"/>
      <c r="AA79" s="103"/>
      <c r="AB79" s="103"/>
      <c r="AC79" s="98">
        <f t="shared" si="14"/>
        <v>0</v>
      </c>
      <c r="AD79" s="98">
        <f t="shared" si="15"/>
        <v>0</v>
      </c>
      <c r="AE79" s="98">
        <f t="shared" si="16"/>
        <v>0</v>
      </c>
      <c r="AF79" s="98">
        <f t="shared" si="17"/>
        <v>0</v>
      </c>
      <c r="AG79" s="98">
        <f t="shared" si="18"/>
        <v>0</v>
      </c>
      <c r="AH79" s="98">
        <f t="shared" si="19"/>
        <v>0</v>
      </c>
      <c r="AI79" s="98">
        <f t="shared" si="20"/>
        <v>0</v>
      </c>
      <c r="AJ79" s="103"/>
      <c r="AK79" s="98">
        <f t="shared" si="21"/>
        <v>0</v>
      </c>
      <c r="AL79" s="98">
        <f t="shared" si="22"/>
        <v>0</v>
      </c>
      <c r="AM79" s="150">
        <f t="shared" si="23"/>
        <v>0</v>
      </c>
      <c r="AN79" s="150">
        <f t="shared" si="24"/>
        <v>0</v>
      </c>
      <c r="AO79" s="103"/>
      <c r="AP79" s="102">
        <f t="shared" si="2"/>
        <v>1008296</v>
      </c>
    </row>
    <row r="80" spans="1:43" s="18" customFormat="1" ht="15.75" hidden="1" x14ac:dyDescent="0.2">
      <c r="A80" s="36"/>
      <c r="B80" s="113" t="s">
        <v>178</v>
      </c>
      <c r="C80" s="114"/>
      <c r="D80" s="114"/>
      <c r="E80" s="114"/>
      <c r="F80" s="106" t="s">
        <v>55</v>
      </c>
      <c r="G80" s="96">
        <f t="shared" si="4"/>
        <v>0</v>
      </c>
      <c r="H80" s="108"/>
      <c r="I80" s="108"/>
      <c r="J80" s="103">
        <f t="shared" si="25"/>
        <v>0</v>
      </c>
      <c r="K80" s="103">
        <f t="shared" si="26"/>
        <v>0</v>
      </c>
      <c r="L80" s="103">
        <f t="shared" si="27"/>
        <v>0</v>
      </c>
      <c r="M80" s="103">
        <f t="shared" si="28"/>
        <v>0</v>
      </c>
      <c r="N80" s="98">
        <f t="shared" si="5"/>
        <v>0</v>
      </c>
      <c r="O80" s="98">
        <f t="shared" si="6"/>
        <v>0</v>
      </c>
      <c r="P80" s="98">
        <f t="shared" si="7"/>
        <v>0</v>
      </c>
      <c r="Q80" s="108"/>
      <c r="R80" s="98">
        <f t="shared" si="8"/>
        <v>0</v>
      </c>
      <c r="S80" s="98">
        <f t="shared" si="9"/>
        <v>0</v>
      </c>
      <c r="T80" s="150">
        <f t="shared" si="10"/>
        <v>0</v>
      </c>
      <c r="U80" s="150">
        <f t="shared" si="11"/>
        <v>0</v>
      </c>
      <c r="V80" s="108">
        <f t="shared" si="29"/>
        <v>0</v>
      </c>
      <c r="W80" s="108"/>
      <c r="X80" s="171">
        <f t="shared" si="12"/>
        <v>0</v>
      </c>
      <c r="Y80" s="171">
        <f t="shared" si="13"/>
        <v>0</v>
      </c>
      <c r="Z80" s="108"/>
      <c r="AA80" s="108"/>
      <c r="AB80" s="108"/>
      <c r="AC80" s="98">
        <f t="shared" si="14"/>
        <v>0</v>
      </c>
      <c r="AD80" s="98">
        <f t="shared" si="15"/>
        <v>0</v>
      </c>
      <c r="AE80" s="98">
        <f t="shared" si="16"/>
        <v>0</v>
      </c>
      <c r="AF80" s="98">
        <f t="shared" si="17"/>
        <v>0</v>
      </c>
      <c r="AG80" s="98">
        <f t="shared" si="18"/>
        <v>0</v>
      </c>
      <c r="AH80" s="98">
        <f t="shared" si="19"/>
        <v>0</v>
      </c>
      <c r="AI80" s="98">
        <f t="shared" si="20"/>
        <v>0</v>
      </c>
      <c r="AJ80" s="108"/>
      <c r="AK80" s="98">
        <f t="shared" si="21"/>
        <v>0</v>
      </c>
      <c r="AL80" s="98">
        <f t="shared" si="22"/>
        <v>0</v>
      </c>
      <c r="AM80" s="150">
        <f t="shared" si="23"/>
        <v>0</v>
      </c>
      <c r="AN80" s="150">
        <f t="shared" si="24"/>
        <v>0</v>
      </c>
      <c r="AO80" s="108"/>
      <c r="AP80" s="102">
        <f t="shared" si="2"/>
        <v>0</v>
      </c>
    </row>
    <row r="81" spans="1:43" s="18" customFormat="1" ht="31.5" hidden="1" x14ac:dyDescent="0.2">
      <c r="A81" s="36"/>
      <c r="B81" s="113" t="s">
        <v>179</v>
      </c>
      <c r="C81" s="114"/>
      <c r="D81" s="114" t="s">
        <v>180</v>
      </c>
      <c r="E81" s="114" t="s">
        <v>54</v>
      </c>
      <c r="F81" s="106" t="s">
        <v>181</v>
      </c>
      <c r="G81" s="96">
        <f t="shared" ref="G81:G99" si="31">H81</f>
        <v>5219768</v>
      </c>
      <c r="H81" s="103">
        <v>5219768</v>
      </c>
      <c r="I81" s="103">
        <v>3198330</v>
      </c>
      <c r="J81" s="103">
        <f t="shared" si="25"/>
        <v>703632.6</v>
      </c>
      <c r="K81" s="103">
        <f t="shared" si="26"/>
        <v>3901962.6</v>
      </c>
      <c r="L81" s="103">
        <f t="shared" si="27"/>
        <v>4214119.608</v>
      </c>
      <c r="M81" s="103">
        <f t="shared" si="28"/>
        <v>4538606.8178159995</v>
      </c>
      <c r="N81" s="98">
        <f t="shared" ref="N81:N99" si="32">H81-K81-Q81</f>
        <v>890300.39999999991</v>
      </c>
      <c r="O81" s="98">
        <f t="shared" ref="O81:O99" si="33">N81*1.053</f>
        <v>937486.32119999989</v>
      </c>
      <c r="P81" s="98">
        <f t="shared" ref="P81:P99" si="34">O81*1.051</f>
        <v>985298.12358119979</v>
      </c>
      <c r="Q81" s="103">
        <v>427505</v>
      </c>
      <c r="R81" s="98">
        <f t="shared" ref="R81:R99" si="35">Q81*1.08</f>
        <v>461705.4</v>
      </c>
      <c r="S81" s="98">
        <f t="shared" ref="S81:S99" si="36">R81*1.061</f>
        <v>489869.42940000002</v>
      </c>
      <c r="T81" s="150">
        <f t="shared" ref="T81:T99" si="37">L81+O81+R81</f>
        <v>5613311.3292000005</v>
      </c>
      <c r="U81" s="150">
        <f t="shared" ref="U81:U99" si="38">M81+P81+S81</f>
        <v>6013774.3707971992</v>
      </c>
      <c r="V81" s="108">
        <f t="shared" si="29"/>
        <v>194250</v>
      </c>
      <c r="W81" s="103"/>
      <c r="X81" s="171">
        <f t="shared" ref="X81:X99" si="39">W81*1.053</f>
        <v>0</v>
      </c>
      <c r="Y81" s="171">
        <f t="shared" ref="Y81:Y99" si="40">X81*1.051</f>
        <v>0</v>
      </c>
      <c r="Z81" s="103"/>
      <c r="AA81" s="103">
        <v>194250</v>
      </c>
      <c r="AB81" s="103">
        <v>111455</v>
      </c>
      <c r="AC81" s="98">
        <f t="shared" ref="AC81:AC99" si="41">AB81*22%</f>
        <v>24520.1</v>
      </c>
      <c r="AD81" s="98">
        <f t="shared" ref="AD81:AD99" si="42">AB81+AC81</f>
        <v>135975.1</v>
      </c>
      <c r="AE81" s="98">
        <f t="shared" ref="AE81:AE99" si="43">AD81*1.08</f>
        <v>146853.10800000001</v>
      </c>
      <c r="AF81" s="98">
        <f t="shared" ref="AF81:AF99" si="44">AE81*1.077</f>
        <v>158160.79731600001</v>
      </c>
      <c r="AG81" s="98">
        <f t="shared" ref="AG81:AG99" si="45">V81-AD81-AJ81</f>
        <v>42197.899999999994</v>
      </c>
      <c r="AH81" s="98">
        <f t="shared" ref="AH81:AH99" si="46">AG81*1.053</f>
        <v>44434.388699999989</v>
      </c>
      <c r="AI81" s="98">
        <f t="shared" ref="AI81:AI99" si="47">AH81*1.051</f>
        <v>46700.542523699987</v>
      </c>
      <c r="AJ81" s="103">
        <v>16077</v>
      </c>
      <c r="AK81" s="98">
        <f t="shared" ref="AK81:AK99" si="48">AJ81*1.08</f>
        <v>17363.16</v>
      </c>
      <c r="AL81" s="98">
        <f t="shared" ref="AL81:AL99" si="49">AK81*1.061</f>
        <v>18422.312759999997</v>
      </c>
      <c r="AM81" s="150">
        <f t="shared" ref="AM81:AM99" si="50">AE81+AH81+AK81</f>
        <v>208650.65669999999</v>
      </c>
      <c r="AN81" s="150">
        <f t="shared" ref="AN81:AN99" si="51">AF81+AI81+AL81</f>
        <v>223283.6525997</v>
      </c>
      <c r="AO81" s="103"/>
      <c r="AP81" s="102">
        <f t="shared" ref="AP81:AP100" si="52">G81+V81</f>
        <v>5414018</v>
      </c>
    </row>
    <row r="82" spans="1:43" s="18" customFormat="1" ht="63" hidden="1" x14ac:dyDescent="0.2">
      <c r="A82" s="36"/>
      <c r="B82" s="113"/>
      <c r="C82" s="114"/>
      <c r="D82" s="114"/>
      <c r="E82" s="114"/>
      <c r="F82" s="97" t="s">
        <v>163</v>
      </c>
      <c r="G82" s="96">
        <f t="shared" si="31"/>
        <v>0</v>
      </c>
      <c r="H82" s="108"/>
      <c r="I82" s="108"/>
      <c r="J82" s="103">
        <f t="shared" ref="J82:J99" si="53">I82*22%</f>
        <v>0</v>
      </c>
      <c r="K82" s="103">
        <f t="shared" ref="K82:K99" si="54">I82+J82</f>
        <v>0</v>
      </c>
      <c r="L82" s="103">
        <f t="shared" ref="L82:L99" si="55">K82*1.08</f>
        <v>0</v>
      </c>
      <c r="M82" s="103">
        <f t="shared" ref="M82:M99" si="56">L82*1.077</f>
        <v>0</v>
      </c>
      <c r="N82" s="98">
        <f t="shared" si="32"/>
        <v>0</v>
      </c>
      <c r="O82" s="98">
        <f t="shared" si="33"/>
        <v>0</v>
      </c>
      <c r="P82" s="98">
        <f t="shared" si="34"/>
        <v>0</v>
      </c>
      <c r="Q82" s="108"/>
      <c r="R82" s="98">
        <f t="shared" si="35"/>
        <v>0</v>
      </c>
      <c r="S82" s="98">
        <f t="shared" si="36"/>
        <v>0</v>
      </c>
      <c r="T82" s="150">
        <f t="shared" si="37"/>
        <v>0</v>
      </c>
      <c r="U82" s="150">
        <f t="shared" si="38"/>
        <v>0</v>
      </c>
      <c r="V82" s="108">
        <f t="shared" si="29"/>
        <v>0</v>
      </c>
      <c r="W82" s="103"/>
      <c r="X82" s="171">
        <f t="shared" si="39"/>
        <v>0</v>
      </c>
      <c r="Y82" s="171">
        <f t="shared" si="40"/>
        <v>0</v>
      </c>
      <c r="Z82" s="103"/>
      <c r="AA82" s="103"/>
      <c r="AB82" s="103"/>
      <c r="AC82" s="98">
        <f t="shared" si="41"/>
        <v>0</v>
      </c>
      <c r="AD82" s="98">
        <f t="shared" si="42"/>
        <v>0</v>
      </c>
      <c r="AE82" s="98">
        <f t="shared" si="43"/>
        <v>0</v>
      </c>
      <c r="AF82" s="98">
        <f t="shared" si="44"/>
        <v>0</v>
      </c>
      <c r="AG82" s="98">
        <f t="shared" si="45"/>
        <v>0</v>
      </c>
      <c r="AH82" s="98">
        <f t="shared" si="46"/>
        <v>0</v>
      </c>
      <c r="AI82" s="98">
        <f t="shared" si="47"/>
        <v>0</v>
      </c>
      <c r="AJ82" s="103"/>
      <c r="AK82" s="98">
        <f t="shared" si="48"/>
        <v>0</v>
      </c>
      <c r="AL82" s="98">
        <f t="shared" si="49"/>
        <v>0</v>
      </c>
      <c r="AM82" s="150">
        <f t="shared" si="50"/>
        <v>0</v>
      </c>
      <c r="AN82" s="150">
        <f t="shared" si="51"/>
        <v>0</v>
      </c>
      <c r="AO82" s="103"/>
      <c r="AP82" s="102">
        <f t="shared" si="52"/>
        <v>0</v>
      </c>
    </row>
    <row r="83" spans="1:43" s="18" customFormat="1" ht="15.75" hidden="1" x14ac:dyDescent="0.2">
      <c r="A83" s="36"/>
      <c r="B83" s="113" t="s">
        <v>182</v>
      </c>
      <c r="C83" s="114"/>
      <c r="D83" s="114" t="s">
        <v>183</v>
      </c>
      <c r="E83" s="114" t="s">
        <v>54</v>
      </c>
      <c r="F83" s="106" t="s">
        <v>184</v>
      </c>
      <c r="G83" s="96">
        <f t="shared" si="31"/>
        <v>464480</v>
      </c>
      <c r="H83" s="103">
        <v>464480</v>
      </c>
      <c r="I83" s="103"/>
      <c r="J83" s="103">
        <f t="shared" si="53"/>
        <v>0</v>
      </c>
      <c r="K83" s="103">
        <f t="shared" si="54"/>
        <v>0</v>
      </c>
      <c r="L83" s="103">
        <f t="shared" si="55"/>
        <v>0</v>
      </c>
      <c r="M83" s="103">
        <f t="shared" si="56"/>
        <v>0</v>
      </c>
      <c r="N83" s="98">
        <f t="shared" si="32"/>
        <v>464480</v>
      </c>
      <c r="O83" s="98">
        <f t="shared" si="33"/>
        <v>489097.43999999994</v>
      </c>
      <c r="P83" s="98">
        <f t="shared" si="34"/>
        <v>514041.4094399999</v>
      </c>
      <c r="Q83" s="103"/>
      <c r="R83" s="98">
        <f t="shared" si="35"/>
        <v>0</v>
      </c>
      <c r="S83" s="98">
        <f t="shared" si="36"/>
        <v>0</v>
      </c>
      <c r="T83" s="150">
        <f t="shared" si="37"/>
        <v>489097.43999999994</v>
      </c>
      <c r="U83" s="150">
        <f t="shared" si="38"/>
        <v>514041.4094399999</v>
      </c>
      <c r="V83" s="108">
        <f t="shared" si="29"/>
        <v>0</v>
      </c>
      <c r="W83" s="103"/>
      <c r="X83" s="171">
        <f t="shared" si="39"/>
        <v>0</v>
      </c>
      <c r="Y83" s="171">
        <f t="shared" si="40"/>
        <v>0</v>
      </c>
      <c r="Z83" s="103"/>
      <c r="AA83" s="103"/>
      <c r="AB83" s="103"/>
      <c r="AC83" s="98">
        <f t="shared" si="41"/>
        <v>0</v>
      </c>
      <c r="AD83" s="98">
        <f t="shared" si="42"/>
        <v>0</v>
      </c>
      <c r="AE83" s="98">
        <f t="shared" si="43"/>
        <v>0</v>
      </c>
      <c r="AF83" s="98">
        <f t="shared" si="44"/>
        <v>0</v>
      </c>
      <c r="AG83" s="98">
        <f t="shared" si="45"/>
        <v>0</v>
      </c>
      <c r="AH83" s="98">
        <f t="shared" si="46"/>
        <v>0</v>
      </c>
      <c r="AI83" s="98">
        <f t="shared" si="47"/>
        <v>0</v>
      </c>
      <c r="AJ83" s="103"/>
      <c r="AK83" s="98">
        <f t="shared" si="48"/>
        <v>0</v>
      </c>
      <c r="AL83" s="98">
        <f t="shared" si="49"/>
        <v>0</v>
      </c>
      <c r="AM83" s="150">
        <f t="shared" si="50"/>
        <v>0</v>
      </c>
      <c r="AN83" s="150">
        <f t="shared" si="51"/>
        <v>0</v>
      </c>
      <c r="AO83" s="103"/>
      <c r="AP83" s="102">
        <f t="shared" si="52"/>
        <v>464480</v>
      </c>
    </row>
    <row r="84" spans="1:43" s="18" customFormat="1" ht="78.75" hidden="1" x14ac:dyDescent="0.2">
      <c r="A84" s="36"/>
      <c r="B84" s="112" t="s">
        <v>185</v>
      </c>
      <c r="C84" s="114"/>
      <c r="D84" s="104" t="s">
        <v>71</v>
      </c>
      <c r="E84" s="104" t="s">
        <v>71</v>
      </c>
      <c r="F84" s="97" t="s">
        <v>72</v>
      </c>
      <c r="G84" s="96">
        <f t="shared" si="31"/>
        <v>0</v>
      </c>
      <c r="H84" s="98"/>
      <c r="I84" s="98"/>
      <c r="J84" s="103">
        <f t="shared" si="53"/>
        <v>0</v>
      </c>
      <c r="K84" s="103">
        <f t="shared" si="54"/>
        <v>0</v>
      </c>
      <c r="L84" s="103">
        <f t="shared" si="55"/>
        <v>0</v>
      </c>
      <c r="M84" s="103">
        <f t="shared" si="56"/>
        <v>0</v>
      </c>
      <c r="N84" s="98">
        <f t="shared" si="32"/>
        <v>0</v>
      </c>
      <c r="O84" s="98">
        <f t="shared" si="33"/>
        <v>0</v>
      </c>
      <c r="P84" s="98">
        <f t="shared" si="34"/>
        <v>0</v>
      </c>
      <c r="Q84" s="98"/>
      <c r="R84" s="98">
        <f t="shared" si="35"/>
        <v>0</v>
      </c>
      <c r="S84" s="98">
        <f t="shared" si="36"/>
        <v>0</v>
      </c>
      <c r="T84" s="150">
        <f t="shared" si="37"/>
        <v>0</v>
      </c>
      <c r="U84" s="150">
        <f t="shared" si="38"/>
        <v>0</v>
      </c>
      <c r="V84" s="108">
        <f t="shared" si="29"/>
        <v>0</v>
      </c>
      <c r="W84" s="103"/>
      <c r="X84" s="171">
        <f t="shared" si="39"/>
        <v>0</v>
      </c>
      <c r="Y84" s="171">
        <f t="shared" si="40"/>
        <v>0</v>
      </c>
      <c r="Z84" s="103"/>
      <c r="AA84" s="103"/>
      <c r="AB84" s="103"/>
      <c r="AC84" s="98">
        <f t="shared" si="41"/>
        <v>0</v>
      </c>
      <c r="AD84" s="98">
        <f t="shared" si="42"/>
        <v>0</v>
      </c>
      <c r="AE84" s="98">
        <f t="shared" si="43"/>
        <v>0</v>
      </c>
      <c r="AF84" s="98">
        <f t="shared" si="44"/>
        <v>0</v>
      </c>
      <c r="AG84" s="98">
        <f t="shared" si="45"/>
        <v>0</v>
      </c>
      <c r="AH84" s="98">
        <f t="shared" si="46"/>
        <v>0</v>
      </c>
      <c r="AI84" s="98">
        <f t="shared" si="47"/>
        <v>0</v>
      </c>
      <c r="AJ84" s="103">
        <f>AB84</f>
        <v>0</v>
      </c>
      <c r="AK84" s="98">
        <f t="shared" si="48"/>
        <v>0</v>
      </c>
      <c r="AL84" s="98">
        <f t="shared" si="49"/>
        <v>0</v>
      </c>
      <c r="AM84" s="150">
        <f t="shared" si="50"/>
        <v>0</v>
      </c>
      <c r="AN84" s="150">
        <f t="shared" si="51"/>
        <v>0</v>
      </c>
      <c r="AO84" s="103">
        <f>AB84</f>
        <v>0</v>
      </c>
      <c r="AP84" s="102">
        <f t="shared" si="52"/>
        <v>0</v>
      </c>
    </row>
    <row r="85" spans="1:43" s="18" customFormat="1" ht="31.5" hidden="1" x14ac:dyDescent="0.2">
      <c r="A85" s="36"/>
      <c r="B85" s="112" t="s">
        <v>250</v>
      </c>
      <c r="C85" s="114"/>
      <c r="D85" s="114" t="s">
        <v>251</v>
      </c>
      <c r="E85" s="114" t="s">
        <v>54</v>
      </c>
      <c r="F85" s="106" t="s">
        <v>252</v>
      </c>
      <c r="G85" s="96">
        <f t="shared" si="31"/>
        <v>946740</v>
      </c>
      <c r="H85" s="103">
        <f>938740+8000</f>
        <v>946740</v>
      </c>
      <c r="I85" s="103">
        <v>769459</v>
      </c>
      <c r="J85" s="103">
        <f t="shared" si="53"/>
        <v>169280.98</v>
      </c>
      <c r="K85" s="103">
        <f t="shared" si="54"/>
        <v>938739.98</v>
      </c>
      <c r="L85" s="103">
        <f t="shared" si="55"/>
        <v>1013839.1784000001</v>
      </c>
      <c r="M85" s="103">
        <f t="shared" si="56"/>
        <v>1091904.7951368</v>
      </c>
      <c r="N85" s="98">
        <f t="shared" si="32"/>
        <v>8000.0200000000186</v>
      </c>
      <c r="O85" s="98">
        <f t="shared" si="33"/>
        <v>8424.0210600000191</v>
      </c>
      <c r="P85" s="98">
        <f t="shared" si="34"/>
        <v>8853.6461340600199</v>
      </c>
      <c r="Q85" s="98"/>
      <c r="R85" s="98">
        <f t="shared" si="35"/>
        <v>0</v>
      </c>
      <c r="S85" s="98">
        <f t="shared" si="36"/>
        <v>0</v>
      </c>
      <c r="T85" s="150">
        <f t="shared" si="37"/>
        <v>1022263.1994600001</v>
      </c>
      <c r="U85" s="150">
        <f t="shared" si="38"/>
        <v>1100758.4412708601</v>
      </c>
      <c r="V85" s="108"/>
      <c r="W85" s="103"/>
      <c r="X85" s="171">
        <f t="shared" si="39"/>
        <v>0</v>
      </c>
      <c r="Y85" s="171">
        <f t="shared" si="40"/>
        <v>0</v>
      </c>
      <c r="Z85" s="103"/>
      <c r="AA85" s="103"/>
      <c r="AB85" s="103"/>
      <c r="AC85" s="98">
        <f t="shared" si="41"/>
        <v>0</v>
      </c>
      <c r="AD85" s="98">
        <f t="shared" si="42"/>
        <v>0</v>
      </c>
      <c r="AE85" s="98">
        <f t="shared" si="43"/>
        <v>0</v>
      </c>
      <c r="AF85" s="98">
        <f t="shared" si="44"/>
        <v>0</v>
      </c>
      <c r="AG85" s="98">
        <f t="shared" si="45"/>
        <v>0</v>
      </c>
      <c r="AH85" s="98">
        <f t="shared" si="46"/>
        <v>0</v>
      </c>
      <c r="AI85" s="98">
        <f t="shared" si="47"/>
        <v>0</v>
      </c>
      <c r="AJ85" s="103"/>
      <c r="AK85" s="98">
        <f t="shared" si="48"/>
        <v>0</v>
      </c>
      <c r="AL85" s="98">
        <f t="shared" si="49"/>
        <v>0</v>
      </c>
      <c r="AM85" s="150">
        <f t="shared" si="50"/>
        <v>0</v>
      </c>
      <c r="AN85" s="150">
        <f t="shared" si="51"/>
        <v>0</v>
      </c>
      <c r="AO85" s="103"/>
      <c r="AP85" s="102">
        <f t="shared" si="52"/>
        <v>946740</v>
      </c>
    </row>
    <row r="86" spans="1:43" s="18" customFormat="1" ht="63" hidden="1" x14ac:dyDescent="0.2">
      <c r="A86" s="36"/>
      <c r="B86" s="112"/>
      <c r="C86" s="114"/>
      <c r="D86" s="114"/>
      <c r="E86" s="114"/>
      <c r="F86" s="97" t="s">
        <v>163</v>
      </c>
      <c r="G86" s="96">
        <f t="shared" si="31"/>
        <v>938740</v>
      </c>
      <c r="H86" s="103">
        <v>938740</v>
      </c>
      <c r="I86" s="103">
        <v>769459</v>
      </c>
      <c r="J86" s="103">
        <f t="shared" si="53"/>
        <v>169280.98</v>
      </c>
      <c r="K86" s="103">
        <f t="shared" si="54"/>
        <v>938739.98</v>
      </c>
      <c r="L86" s="103">
        <f t="shared" si="55"/>
        <v>1013839.1784000001</v>
      </c>
      <c r="M86" s="103">
        <f t="shared" si="56"/>
        <v>1091904.7951368</v>
      </c>
      <c r="N86" s="98">
        <f t="shared" si="32"/>
        <v>2.0000000018626451E-2</v>
      </c>
      <c r="O86" s="98">
        <f t="shared" si="33"/>
        <v>2.1060000019613653E-2</v>
      </c>
      <c r="P86" s="98">
        <f t="shared" si="34"/>
        <v>2.2134060020613949E-2</v>
      </c>
      <c r="Q86" s="98"/>
      <c r="R86" s="98">
        <f t="shared" si="35"/>
        <v>0</v>
      </c>
      <c r="S86" s="98">
        <f t="shared" si="36"/>
        <v>0</v>
      </c>
      <c r="T86" s="150">
        <f t="shared" si="37"/>
        <v>1013839.1994600001</v>
      </c>
      <c r="U86" s="150">
        <f t="shared" si="38"/>
        <v>1091904.8172708601</v>
      </c>
      <c r="V86" s="108"/>
      <c r="W86" s="103"/>
      <c r="X86" s="171">
        <f t="shared" si="39"/>
        <v>0</v>
      </c>
      <c r="Y86" s="171">
        <f t="shared" si="40"/>
        <v>0</v>
      </c>
      <c r="Z86" s="103"/>
      <c r="AA86" s="103"/>
      <c r="AB86" s="103"/>
      <c r="AC86" s="98">
        <f t="shared" si="41"/>
        <v>0</v>
      </c>
      <c r="AD86" s="98">
        <f t="shared" si="42"/>
        <v>0</v>
      </c>
      <c r="AE86" s="98">
        <f t="shared" si="43"/>
        <v>0</v>
      </c>
      <c r="AF86" s="98">
        <f t="shared" si="44"/>
        <v>0</v>
      </c>
      <c r="AG86" s="98">
        <f t="shared" si="45"/>
        <v>0</v>
      </c>
      <c r="AH86" s="98">
        <f t="shared" si="46"/>
        <v>0</v>
      </c>
      <c r="AI86" s="98">
        <f t="shared" si="47"/>
        <v>0</v>
      </c>
      <c r="AJ86" s="103"/>
      <c r="AK86" s="98">
        <f t="shared" si="48"/>
        <v>0</v>
      </c>
      <c r="AL86" s="98">
        <f t="shared" si="49"/>
        <v>0</v>
      </c>
      <c r="AM86" s="150">
        <f t="shared" si="50"/>
        <v>0</v>
      </c>
      <c r="AN86" s="150">
        <f t="shared" si="51"/>
        <v>0</v>
      </c>
      <c r="AO86" s="103"/>
      <c r="AP86" s="102">
        <f t="shared" si="52"/>
        <v>938740</v>
      </c>
    </row>
    <row r="87" spans="1:43" s="204" customFormat="1" ht="78.75" hidden="1" x14ac:dyDescent="0.2">
      <c r="A87" s="196"/>
      <c r="B87" s="208" t="s">
        <v>185</v>
      </c>
      <c r="C87" s="209"/>
      <c r="D87" s="199" t="s">
        <v>71</v>
      </c>
      <c r="E87" s="199" t="s">
        <v>71</v>
      </c>
      <c r="F87" s="200" t="s">
        <v>72</v>
      </c>
      <c r="G87" s="169">
        <f t="shared" si="31"/>
        <v>195000</v>
      </c>
      <c r="H87" s="201">
        <v>195000</v>
      </c>
      <c r="I87" s="201"/>
      <c r="J87" s="201">
        <f t="shared" si="53"/>
        <v>0</v>
      </c>
      <c r="K87" s="201">
        <f t="shared" si="54"/>
        <v>0</v>
      </c>
      <c r="L87" s="201">
        <f t="shared" si="55"/>
        <v>0</v>
      </c>
      <c r="M87" s="201">
        <f t="shared" si="56"/>
        <v>0</v>
      </c>
      <c r="N87" s="171">
        <f t="shared" si="32"/>
        <v>195000</v>
      </c>
      <c r="O87" s="171">
        <f t="shared" si="33"/>
        <v>205335</v>
      </c>
      <c r="P87" s="171">
        <f t="shared" si="34"/>
        <v>215807.08499999999</v>
      </c>
      <c r="Q87" s="171"/>
      <c r="R87" s="171">
        <f t="shared" si="35"/>
        <v>0</v>
      </c>
      <c r="S87" s="171">
        <f t="shared" si="36"/>
        <v>0</v>
      </c>
      <c r="T87" s="171">
        <f t="shared" si="37"/>
        <v>205335</v>
      </c>
      <c r="U87" s="171">
        <f t="shared" si="38"/>
        <v>215807.08499999999</v>
      </c>
      <c r="V87" s="202"/>
      <c r="W87" s="201"/>
      <c r="X87" s="171">
        <f t="shared" si="39"/>
        <v>0</v>
      </c>
      <c r="Y87" s="171">
        <f t="shared" si="40"/>
        <v>0</v>
      </c>
      <c r="Z87" s="201"/>
      <c r="AA87" s="201"/>
      <c r="AB87" s="201"/>
      <c r="AC87" s="171">
        <f t="shared" si="41"/>
        <v>0</v>
      </c>
      <c r="AD87" s="171">
        <f t="shared" si="42"/>
        <v>0</v>
      </c>
      <c r="AE87" s="171">
        <f t="shared" si="43"/>
        <v>0</v>
      </c>
      <c r="AF87" s="171">
        <f t="shared" si="44"/>
        <v>0</v>
      </c>
      <c r="AG87" s="171">
        <f t="shared" si="45"/>
        <v>0</v>
      </c>
      <c r="AH87" s="171">
        <f t="shared" si="46"/>
        <v>0</v>
      </c>
      <c r="AI87" s="171">
        <f t="shared" si="47"/>
        <v>0</v>
      </c>
      <c r="AJ87" s="201"/>
      <c r="AK87" s="171">
        <f t="shared" si="48"/>
        <v>0</v>
      </c>
      <c r="AL87" s="171">
        <f t="shared" si="49"/>
        <v>0</v>
      </c>
      <c r="AM87" s="171">
        <f t="shared" si="50"/>
        <v>0</v>
      </c>
      <c r="AN87" s="171">
        <f t="shared" si="51"/>
        <v>0</v>
      </c>
      <c r="AO87" s="201"/>
      <c r="AP87" s="203">
        <f t="shared" si="52"/>
        <v>195000</v>
      </c>
    </row>
    <row r="88" spans="1:43" s="18" customFormat="1" ht="15.75" hidden="1" x14ac:dyDescent="0.2">
      <c r="A88" s="36"/>
      <c r="B88" s="112"/>
      <c r="C88" s="114"/>
      <c r="D88" s="114"/>
      <c r="E88" s="114"/>
      <c r="F88" s="97"/>
      <c r="G88" s="96">
        <f t="shared" si="31"/>
        <v>0</v>
      </c>
      <c r="H88" s="103"/>
      <c r="I88" s="122"/>
      <c r="J88" s="103">
        <f t="shared" si="53"/>
        <v>0</v>
      </c>
      <c r="K88" s="103">
        <f t="shared" si="54"/>
        <v>0</v>
      </c>
      <c r="L88" s="103">
        <f t="shared" si="55"/>
        <v>0</v>
      </c>
      <c r="M88" s="103">
        <f t="shared" si="56"/>
        <v>0</v>
      </c>
      <c r="N88" s="98">
        <f t="shared" si="32"/>
        <v>0</v>
      </c>
      <c r="O88" s="98">
        <f t="shared" si="33"/>
        <v>0</v>
      </c>
      <c r="P88" s="98">
        <f t="shared" si="34"/>
        <v>0</v>
      </c>
      <c r="Q88" s="98"/>
      <c r="R88" s="98">
        <f t="shared" si="35"/>
        <v>0</v>
      </c>
      <c r="S88" s="98">
        <f t="shared" si="36"/>
        <v>0</v>
      </c>
      <c r="T88" s="150">
        <f t="shared" si="37"/>
        <v>0</v>
      </c>
      <c r="U88" s="150">
        <f t="shared" si="38"/>
        <v>0</v>
      </c>
      <c r="V88" s="108"/>
      <c r="W88" s="103"/>
      <c r="X88" s="171">
        <f t="shared" si="39"/>
        <v>0</v>
      </c>
      <c r="Y88" s="171">
        <f t="shared" si="40"/>
        <v>0</v>
      </c>
      <c r="Z88" s="103"/>
      <c r="AA88" s="103"/>
      <c r="AB88" s="103"/>
      <c r="AC88" s="98">
        <f t="shared" si="41"/>
        <v>0</v>
      </c>
      <c r="AD88" s="98">
        <f t="shared" si="42"/>
        <v>0</v>
      </c>
      <c r="AE88" s="98">
        <f t="shared" si="43"/>
        <v>0</v>
      </c>
      <c r="AF88" s="98">
        <f t="shared" si="44"/>
        <v>0</v>
      </c>
      <c r="AG88" s="98">
        <f t="shared" si="45"/>
        <v>0</v>
      </c>
      <c r="AH88" s="98">
        <f t="shared" si="46"/>
        <v>0</v>
      </c>
      <c r="AI88" s="98">
        <f t="shared" si="47"/>
        <v>0</v>
      </c>
      <c r="AJ88" s="103"/>
      <c r="AK88" s="98">
        <f t="shared" si="48"/>
        <v>0</v>
      </c>
      <c r="AL88" s="98">
        <f t="shared" si="49"/>
        <v>0</v>
      </c>
      <c r="AM88" s="150">
        <f t="shared" si="50"/>
        <v>0</v>
      </c>
      <c r="AN88" s="150">
        <f t="shared" si="51"/>
        <v>0</v>
      </c>
      <c r="AO88" s="103"/>
      <c r="AP88" s="102"/>
    </row>
    <row r="89" spans="1:43" s="18" customFormat="1" ht="15.75" hidden="1" x14ac:dyDescent="0.2">
      <c r="A89" s="36"/>
      <c r="B89" s="112"/>
      <c r="C89" s="114"/>
      <c r="D89" s="114"/>
      <c r="E89" s="114"/>
      <c r="F89" s="97"/>
      <c r="G89" s="96">
        <f t="shared" si="31"/>
        <v>0</v>
      </c>
      <c r="H89" s="103"/>
      <c r="I89" s="122"/>
      <c r="J89" s="103">
        <f t="shared" si="53"/>
        <v>0</v>
      </c>
      <c r="K89" s="103">
        <f t="shared" si="54"/>
        <v>0</v>
      </c>
      <c r="L89" s="103">
        <f t="shared" si="55"/>
        <v>0</v>
      </c>
      <c r="M89" s="103">
        <f t="shared" si="56"/>
        <v>0</v>
      </c>
      <c r="N89" s="98">
        <f t="shared" si="32"/>
        <v>0</v>
      </c>
      <c r="O89" s="98">
        <f t="shared" si="33"/>
        <v>0</v>
      </c>
      <c r="P89" s="98">
        <f t="shared" si="34"/>
        <v>0</v>
      </c>
      <c r="Q89" s="98"/>
      <c r="R89" s="98">
        <f t="shared" si="35"/>
        <v>0</v>
      </c>
      <c r="S89" s="98">
        <f t="shared" si="36"/>
        <v>0</v>
      </c>
      <c r="T89" s="150">
        <f t="shared" si="37"/>
        <v>0</v>
      </c>
      <c r="U89" s="150">
        <f t="shared" si="38"/>
        <v>0</v>
      </c>
      <c r="V89" s="108"/>
      <c r="W89" s="103"/>
      <c r="X89" s="171">
        <f t="shared" si="39"/>
        <v>0</v>
      </c>
      <c r="Y89" s="171">
        <f t="shared" si="40"/>
        <v>0</v>
      </c>
      <c r="Z89" s="103"/>
      <c r="AA89" s="103"/>
      <c r="AB89" s="103"/>
      <c r="AC89" s="98">
        <f t="shared" si="41"/>
        <v>0</v>
      </c>
      <c r="AD89" s="98">
        <f t="shared" si="42"/>
        <v>0</v>
      </c>
      <c r="AE89" s="98">
        <f t="shared" si="43"/>
        <v>0</v>
      </c>
      <c r="AF89" s="98">
        <f t="shared" si="44"/>
        <v>0</v>
      </c>
      <c r="AG89" s="98">
        <f t="shared" si="45"/>
        <v>0</v>
      </c>
      <c r="AH89" s="98">
        <f t="shared" si="46"/>
        <v>0</v>
      </c>
      <c r="AI89" s="98">
        <f t="shared" si="47"/>
        <v>0</v>
      </c>
      <c r="AJ89" s="103"/>
      <c r="AK89" s="98">
        <f t="shared" si="48"/>
        <v>0</v>
      </c>
      <c r="AL89" s="98">
        <f t="shared" si="49"/>
        <v>0</v>
      </c>
      <c r="AM89" s="150">
        <f t="shared" si="50"/>
        <v>0</v>
      </c>
      <c r="AN89" s="150">
        <f t="shared" si="51"/>
        <v>0</v>
      </c>
      <c r="AO89" s="103"/>
      <c r="AP89" s="102"/>
    </row>
    <row r="90" spans="1:43" s="18" customFormat="1" ht="15.75" hidden="1" x14ac:dyDescent="0.2">
      <c r="A90" s="36"/>
      <c r="B90" s="93" t="s">
        <v>186</v>
      </c>
      <c r="C90" s="104"/>
      <c r="D90" s="104"/>
      <c r="E90" s="104"/>
      <c r="F90" s="95" t="s">
        <v>187</v>
      </c>
      <c r="G90" s="96">
        <f t="shared" si="31"/>
        <v>11170522</v>
      </c>
      <c r="H90" s="96">
        <f>H91</f>
        <v>11170522</v>
      </c>
      <c r="I90" s="96">
        <f>I91</f>
        <v>7921954</v>
      </c>
      <c r="J90" s="103">
        <f t="shared" si="53"/>
        <v>1742829.8800000001</v>
      </c>
      <c r="K90" s="103">
        <f t="shared" si="54"/>
        <v>9664783.8800000008</v>
      </c>
      <c r="L90" s="103">
        <f t="shared" si="55"/>
        <v>10437966.590400001</v>
      </c>
      <c r="M90" s="103">
        <f t="shared" si="56"/>
        <v>11241690.0178608</v>
      </c>
      <c r="N90" s="98">
        <f t="shared" si="32"/>
        <v>476682.11999999918</v>
      </c>
      <c r="O90" s="98">
        <f t="shared" si="33"/>
        <v>501946.27235999913</v>
      </c>
      <c r="P90" s="98">
        <f t="shared" si="34"/>
        <v>527545.53225035907</v>
      </c>
      <c r="Q90" s="96">
        <f>Q91</f>
        <v>1029056</v>
      </c>
      <c r="R90" s="98">
        <f t="shared" si="35"/>
        <v>1111380.48</v>
      </c>
      <c r="S90" s="98">
        <f t="shared" si="36"/>
        <v>1179174.6892799998</v>
      </c>
      <c r="T90" s="150">
        <f t="shared" si="37"/>
        <v>12051293.34276</v>
      </c>
      <c r="U90" s="150">
        <f t="shared" si="38"/>
        <v>12948410.239391159</v>
      </c>
      <c r="V90" s="108">
        <f>V91</f>
        <v>130523</v>
      </c>
      <c r="W90" s="108">
        <f>W91</f>
        <v>0</v>
      </c>
      <c r="X90" s="171">
        <f t="shared" si="39"/>
        <v>0</v>
      </c>
      <c r="Y90" s="171">
        <f t="shared" si="40"/>
        <v>0</v>
      </c>
      <c r="Z90" s="108">
        <f>Z91</f>
        <v>0</v>
      </c>
      <c r="AA90" s="108">
        <f>AA91</f>
        <v>130523</v>
      </c>
      <c r="AB90" s="108">
        <f>AB91</f>
        <v>95510</v>
      </c>
      <c r="AC90" s="98">
        <f t="shared" si="41"/>
        <v>21012.2</v>
      </c>
      <c r="AD90" s="98">
        <f t="shared" si="42"/>
        <v>116522.2</v>
      </c>
      <c r="AE90" s="98">
        <f t="shared" si="43"/>
        <v>125843.97600000001</v>
      </c>
      <c r="AF90" s="98">
        <f t="shared" si="44"/>
        <v>135533.96215199999</v>
      </c>
      <c r="AG90" s="98">
        <f t="shared" si="45"/>
        <v>14000.800000000003</v>
      </c>
      <c r="AH90" s="98">
        <f t="shared" si="46"/>
        <v>14742.842400000001</v>
      </c>
      <c r="AI90" s="98">
        <f t="shared" si="47"/>
        <v>15494.727362400001</v>
      </c>
      <c r="AJ90" s="108">
        <f>AJ91</f>
        <v>0</v>
      </c>
      <c r="AK90" s="98">
        <f t="shared" si="48"/>
        <v>0</v>
      </c>
      <c r="AL90" s="98">
        <f t="shared" si="49"/>
        <v>0</v>
      </c>
      <c r="AM90" s="150">
        <f t="shared" si="50"/>
        <v>140586.81840000002</v>
      </c>
      <c r="AN90" s="150">
        <f t="shared" si="51"/>
        <v>151028.6895144</v>
      </c>
      <c r="AO90" s="108">
        <f>AO91</f>
        <v>0</v>
      </c>
      <c r="AP90" s="102">
        <f t="shared" si="52"/>
        <v>11301045</v>
      </c>
    </row>
    <row r="91" spans="1:43" s="18" customFormat="1" ht="15.75" hidden="1" x14ac:dyDescent="0.2">
      <c r="A91" s="36"/>
      <c r="B91" s="93" t="s">
        <v>188</v>
      </c>
      <c r="C91" s="104"/>
      <c r="D91" s="104"/>
      <c r="E91" s="104"/>
      <c r="F91" s="95" t="s">
        <v>187</v>
      </c>
      <c r="G91" s="96">
        <f t="shared" si="31"/>
        <v>11170522</v>
      </c>
      <c r="H91" s="108">
        <f>H95+H96+H92+H97+H93+H98+H99+H94</f>
        <v>11170522</v>
      </c>
      <c r="I91" s="108">
        <f>I95+I96+I92+I97+I93+I98+I99+I94</f>
        <v>7921954</v>
      </c>
      <c r="J91" s="103">
        <f t="shared" si="53"/>
        <v>1742829.8800000001</v>
      </c>
      <c r="K91" s="103">
        <f t="shared" si="54"/>
        <v>9664783.8800000008</v>
      </c>
      <c r="L91" s="103">
        <f t="shared" si="55"/>
        <v>10437966.590400001</v>
      </c>
      <c r="M91" s="103">
        <f t="shared" si="56"/>
        <v>11241690.0178608</v>
      </c>
      <c r="N91" s="98">
        <f t="shared" si="32"/>
        <v>476682.11999999918</v>
      </c>
      <c r="O91" s="98">
        <f t="shared" si="33"/>
        <v>501946.27235999913</v>
      </c>
      <c r="P91" s="98">
        <f t="shared" si="34"/>
        <v>527545.53225035907</v>
      </c>
      <c r="Q91" s="108">
        <f>Q95+Q96+Q92+Q97+Q93+Q98+Q99+Q94</f>
        <v>1029056</v>
      </c>
      <c r="R91" s="98">
        <f t="shared" si="35"/>
        <v>1111380.48</v>
      </c>
      <c r="S91" s="98">
        <f t="shared" si="36"/>
        <v>1179174.6892799998</v>
      </c>
      <c r="T91" s="150">
        <f t="shared" si="37"/>
        <v>12051293.34276</v>
      </c>
      <c r="U91" s="150">
        <f t="shared" si="38"/>
        <v>12948410.239391159</v>
      </c>
      <c r="V91" s="108">
        <f>V95+V96+V92+V97+V93+V98+V99+V94</f>
        <v>130523</v>
      </c>
      <c r="W91" s="108">
        <f>W95+W96+W92+W97+W93+W98+W99+W94</f>
        <v>0</v>
      </c>
      <c r="X91" s="171">
        <f t="shared" si="39"/>
        <v>0</v>
      </c>
      <c r="Y91" s="171">
        <f t="shared" si="40"/>
        <v>0</v>
      </c>
      <c r="Z91" s="108">
        <f>Z95+Z96+Z92+Z97+Z93+Z98+Z99+Z94</f>
        <v>0</v>
      </c>
      <c r="AA91" s="108">
        <f>AA95+AA96+AA92+AA97+AA93+AA98+AA99+AA94</f>
        <v>130523</v>
      </c>
      <c r="AB91" s="108">
        <f>AB95+AB96+AB92+AB97+AB93+AB98+AB99+AB94</f>
        <v>95510</v>
      </c>
      <c r="AC91" s="98">
        <f t="shared" si="41"/>
        <v>21012.2</v>
      </c>
      <c r="AD91" s="98">
        <f t="shared" si="42"/>
        <v>116522.2</v>
      </c>
      <c r="AE91" s="98">
        <f t="shared" si="43"/>
        <v>125843.97600000001</v>
      </c>
      <c r="AF91" s="98">
        <f t="shared" si="44"/>
        <v>135533.96215199999</v>
      </c>
      <c r="AG91" s="98">
        <f t="shared" si="45"/>
        <v>14000.800000000003</v>
      </c>
      <c r="AH91" s="98">
        <f t="shared" si="46"/>
        <v>14742.842400000001</v>
      </c>
      <c r="AI91" s="98">
        <f t="shared" si="47"/>
        <v>15494.727362400001</v>
      </c>
      <c r="AJ91" s="108">
        <f>AJ95+AJ96+AJ92+AJ97+AJ93+AJ98+AJ99+AJ94</f>
        <v>0</v>
      </c>
      <c r="AK91" s="98">
        <f t="shared" si="48"/>
        <v>0</v>
      </c>
      <c r="AL91" s="98">
        <f t="shared" si="49"/>
        <v>0</v>
      </c>
      <c r="AM91" s="150">
        <f t="shared" si="50"/>
        <v>140586.81840000002</v>
      </c>
      <c r="AN91" s="150">
        <f t="shared" si="51"/>
        <v>151028.6895144</v>
      </c>
      <c r="AO91" s="108">
        <f>AO95+AO96+AO92+AO97+AO93+AO98+AO99+AO94</f>
        <v>0</v>
      </c>
      <c r="AP91" s="108">
        <f>AP95+AP96+AP92+AP97+AP93+AP98+AP99+AP94</f>
        <v>11301045</v>
      </c>
      <c r="AQ91" s="60"/>
    </row>
    <row r="92" spans="1:43" s="18" customFormat="1" ht="63" hidden="1" x14ac:dyDescent="0.2">
      <c r="A92" s="36"/>
      <c r="B92" s="112" t="s">
        <v>189</v>
      </c>
      <c r="C92" s="114"/>
      <c r="D92" s="114" t="s">
        <v>190</v>
      </c>
      <c r="E92" s="114" t="s">
        <v>173</v>
      </c>
      <c r="F92" s="97" t="s">
        <v>191</v>
      </c>
      <c r="G92" s="96">
        <f t="shared" si="31"/>
        <v>3503824</v>
      </c>
      <c r="H92" s="98">
        <v>3503824</v>
      </c>
      <c r="I92" s="98">
        <v>2783556</v>
      </c>
      <c r="J92" s="103">
        <f t="shared" si="53"/>
        <v>612382.31999999995</v>
      </c>
      <c r="K92" s="103">
        <f t="shared" si="54"/>
        <v>3395938.32</v>
      </c>
      <c r="L92" s="103">
        <f t="shared" si="55"/>
        <v>3667613.3856000002</v>
      </c>
      <c r="M92" s="103">
        <f t="shared" si="56"/>
        <v>3950019.6162911998</v>
      </c>
      <c r="N92" s="98">
        <f t="shared" si="32"/>
        <v>33545.680000000168</v>
      </c>
      <c r="O92" s="98">
        <f t="shared" si="33"/>
        <v>35323.601040000176</v>
      </c>
      <c r="P92" s="98">
        <f t="shared" si="34"/>
        <v>37125.104693040186</v>
      </c>
      <c r="Q92" s="98">
        <v>74340</v>
      </c>
      <c r="R92" s="98">
        <f t="shared" si="35"/>
        <v>80287.200000000012</v>
      </c>
      <c r="S92" s="98">
        <f t="shared" si="36"/>
        <v>85184.719200000007</v>
      </c>
      <c r="T92" s="150">
        <f t="shared" si="37"/>
        <v>3783224.1866400004</v>
      </c>
      <c r="U92" s="150">
        <f t="shared" si="38"/>
        <v>4072329.4401842402</v>
      </c>
      <c r="V92" s="108">
        <f t="shared" ref="V92:V99" si="57">AA92+W92</f>
        <v>116523</v>
      </c>
      <c r="W92" s="103"/>
      <c r="X92" s="171">
        <f t="shared" si="39"/>
        <v>0</v>
      </c>
      <c r="Y92" s="171">
        <f t="shared" si="40"/>
        <v>0</v>
      </c>
      <c r="Z92" s="103"/>
      <c r="AA92" s="103">
        <v>116523</v>
      </c>
      <c r="AB92" s="103">
        <v>95510</v>
      </c>
      <c r="AC92" s="98">
        <f t="shared" si="41"/>
        <v>21012.2</v>
      </c>
      <c r="AD92" s="98">
        <f t="shared" si="42"/>
        <v>116522.2</v>
      </c>
      <c r="AE92" s="98">
        <f t="shared" si="43"/>
        <v>125843.97600000001</v>
      </c>
      <c r="AF92" s="98">
        <f t="shared" si="44"/>
        <v>135533.96215199999</v>
      </c>
      <c r="AG92" s="98">
        <f t="shared" si="45"/>
        <v>0.80000000000291038</v>
      </c>
      <c r="AH92" s="98">
        <f t="shared" si="46"/>
        <v>0.84240000000306459</v>
      </c>
      <c r="AI92" s="98">
        <f t="shared" si="47"/>
        <v>0.88536240000322086</v>
      </c>
      <c r="AJ92" s="103"/>
      <c r="AK92" s="98">
        <f t="shared" si="48"/>
        <v>0</v>
      </c>
      <c r="AL92" s="98">
        <f t="shared" si="49"/>
        <v>0</v>
      </c>
      <c r="AM92" s="150">
        <f t="shared" si="50"/>
        <v>125844.81840000002</v>
      </c>
      <c r="AN92" s="150">
        <f t="shared" si="51"/>
        <v>135534.8475144</v>
      </c>
      <c r="AO92" s="103"/>
      <c r="AP92" s="102">
        <f t="shared" si="52"/>
        <v>3620347</v>
      </c>
    </row>
    <row r="93" spans="1:43" s="18" customFormat="1" ht="15.75" hidden="1" x14ac:dyDescent="0.2">
      <c r="A93" s="36"/>
      <c r="B93" s="112" t="s">
        <v>192</v>
      </c>
      <c r="C93" s="114"/>
      <c r="D93" s="114" t="s">
        <v>193</v>
      </c>
      <c r="E93" s="114" t="s">
        <v>194</v>
      </c>
      <c r="F93" s="97" t="s">
        <v>195</v>
      </c>
      <c r="G93" s="96">
        <f t="shared" si="31"/>
        <v>2707415</v>
      </c>
      <c r="H93" s="98">
        <v>2707415</v>
      </c>
      <c r="I93" s="98">
        <v>2005730</v>
      </c>
      <c r="J93" s="103">
        <f t="shared" si="53"/>
        <v>441260.6</v>
      </c>
      <c r="K93" s="103">
        <f t="shared" si="54"/>
        <v>2446990.6</v>
      </c>
      <c r="L93" s="103">
        <f t="shared" si="55"/>
        <v>2642749.8480000002</v>
      </c>
      <c r="M93" s="103">
        <f t="shared" si="56"/>
        <v>2846241.5862960001</v>
      </c>
      <c r="N93" s="98">
        <f t="shared" si="32"/>
        <v>58440.399999999907</v>
      </c>
      <c r="O93" s="98">
        <f t="shared" si="33"/>
        <v>61537.741199999895</v>
      </c>
      <c r="P93" s="98">
        <f t="shared" si="34"/>
        <v>64676.166001199883</v>
      </c>
      <c r="Q93" s="98">
        <v>201984</v>
      </c>
      <c r="R93" s="98">
        <f t="shared" si="35"/>
        <v>218142.72</v>
      </c>
      <c r="S93" s="98">
        <f t="shared" si="36"/>
        <v>231449.42591999998</v>
      </c>
      <c r="T93" s="150">
        <f t="shared" si="37"/>
        <v>2922430.3092000005</v>
      </c>
      <c r="U93" s="150">
        <f t="shared" si="38"/>
        <v>3142367.1782171996</v>
      </c>
      <c r="V93" s="99">
        <f t="shared" si="57"/>
        <v>0</v>
      </c>
      <c r="W93" s="105"/>
      <c r="X93" s="171">
        <f t="shared" si="39"/>
        <v>0</v>
      </c>
      <c r="Y93" s="171">
        <f t="shared" si="40"/>
        <v>0</v>
      </c>
      <c r="Z93" s="105"/>
      <c r="AA93" s="99"/>
      <c r="AB93" s="99"/>
      <c r="AC93" s="98">
        <f t="shared" si="41"/>
        <v>0</v>
      </c>
      <c r="AD93" s="98">
        <f t="shared" si="42"/>
        <v>0</v>
      </c>
      <c r="AE93" s="98">
        <f t="shared" si="43"/>
        <v>0</v>
      </c>
      <c r="AF93" s="98">
        <f t="shared" si="44"/>
        <v>0</v>
      </c>
      <c r="AG93" s="98">
        <f t="shared" si="45"/>
        <v>0</v>
      </c>
      <c r="AH93" s="98">
        <f t="shared" si="46"/>
        <v>0</v>
      </c>
      <c r="AI93" s="98">
        <f t="shared" si="47"/>
        <v>0</v>
      </c>
      <c r="AJ93" s="105">
        <f>AB93</f>
        <v>0</v>
      </c>
      <c r="AK93" s="98">
        <f t="shared" si="48"/>
        <v>0</v>
      </c>
      <c r="AL93" s="98">
        <f t="shared" si="49"/>
        <v>0</v>
      </c>
      <c r="AM93" s="150">
        <f t="shared" si="50"/>
        <v>0</v>
      </c>
      <c r="AN93" s="150">
        <f t="shared" si="51"/>
        <v>0</v>
      </c>
      <c r="AO93" s="105"/>
      <c r="AP93" s="102">
        <f t="shared" si="52"/>
        <v>2707415</v>
      </c>
    </row>
    <row r="94" spans="1:43" s="18" customFormat="1" ht="15.75" hidden="1" x14ac:dyDescent="0.2">
      <c r="A94" s="36"/>
      <c r="B94" s="112" t="s">
        <v>253</v>
      </c>
      <c r="C94" s="114"/>
      <c r="D94" s="114" t="s">
        <v>254</v>
      </c>
      <c r="E94" s="114" t="s">
        <v>194</v>
      </c>
      <c r="F94" s="97" t="s">
        <v>255</v>
      </c>
      <c r="G94" s="96">
        <f t="shared" si="31"/>
        <v>88165</v>
      </c>
      <c r="H94" s="98">
        <v>88165</v>
      </c>
      <c r="I94" s="98">
        <v>71396</v>
      </c>
      <c r="J94" s="103">
        <f t="shared" si="53"/>
        <v>15707.12</v>
      </c>
      <c r="K94" s="103">
        <f t="shared" si="54"/>
        <v>87103.12</v>
      </c>
      <c r="L94" s="103">
        <f t="shared" si="55"/>
        <v>94071.369600000005</v>
      </c>
      <c r="M94" s="103">
        <f t="shared" si="56"/>
        <v>101314.8650592</v>
      </c>
      <c r="N94" s="98">
        <f t="shared" si="32"/>
        <v>1061.8800000000047</v>
      </c>
      <c r="O94" s="98">
        <f t="shared" si="33"/>
        <v>1118.1596400000049</v>
      </c>
      <c r="P94" s="98">
        <f t="shared" si="34"/>
        <v>1175.185781640005</v>
      </c>
      <c r="Q94" s="98"/>
      <c r="R94" s="98">
        <f t="shared" si="35"/>
        <v>0</v>
      </c>
      <c r="S94" s="98">
        <f t="shared" si="36"/>
        <v>0</v>
      </c>
      <c r="T94" s="150">
        <f t="shared" si="37"/>
        <v>95189.529240000003</v>
      </c>
      <c r="U94" s="150">
        <f t="shared" si="38"/>
        <v>102490.05084084001</v>
      </c>
      <c r="V94" s="108">
        <f t="shared" si="57"/>
        <v>1200</v>
      </c>
      <c r="W94" s="103"/>
      <c r="X94" s="171">
        <f t="shared" si="39"/>
        <v>0</v>
      </c>
      <c r="Y94" s="171">
        <f t="shared" si="40"/>
        <v>0</v>
      </c>
      <c r="Z94" s="103"/>
      <c r="AA94" s="108">
        <v>1200</v>
      </c>
      <c r="AB94" s="99"/>
      <c r="AC94" s="98">
        <f t="shared" si="41"/>
        <v>0</v>
      </c>
      <c r="AD94" s="98">
        <f t="shared" si="42"/>
        <v>0</v>
      </c>
      <c r="AE94" s="98">
        <f t="shared" si="43"/>
        <v>0</v>
      </c>
      <c r="AF94" s="98">
        <f t="shared" si="44"/>
        <v>0</v>
      </c>
      <c r="AG94" s="98">
        <f t="shared" si="45"/>
        <v>1200</v>
      </c>
      <c r="AH94" s="98">
        <f t="shared" si="46"/>
        <v>1263.5999999999999</v>
      </c>
      <c r="AI94" s="98">
        <f t="shared" si="47"/>
        <v>1328.0435999999997</v>
      </c>
      <c r="AJ94" s="105"/>
      <c r="AK94" s="98">
        <f t="shared" si="48"/>
        <v>0</v>
      </c>
      <c r="AL94" s="98">
        <f t="shared" si="49"/>
        <v>0</v>
      </c>
      <c r="AM94" s="150">
        <f t="shared" si="50"/>
        <v>1263.5999999999999</v>
      </c>
      <c r="AN94" s="150">
        <f t="shared" si="51"/>
        <v>1328.0435999999997</v>
      </c>
      <c r="AO94" s="105"/>
      <c r="AP94" s="102">
        <f t="shared" si="52"/>
        <v>89365</v>
      </c>
    </row>
    <row r="95" spans="1:43" s="18" customFormat="1" ht="47.25" hidden="1" x14ac:dyDescent="0.2">
      <c r="A95" s="36"/>
      <c r="B95" s="112" t="s">
        <v>196</v>
      </c>
      <c r="C95" s="114"/>
      <c r="D95" s="114" t="s">
        <v>197</v>
      </c>
      <c r="E95" s="114" t="s">
        <v>198</v>
      </c>
      <c r="F95" s="97" t="s">
        <v>199</v>
      </c>
      <c r="G95" s="96">
        <f t="shared" si="31"/>
        <v>4232227</v>
      </c>
      <c r="H95" s="98">
        <f>1958414+2273813</f>
        <v>4232227</v>
      </c>
      <c r="I95" s="98">
        <f>1388096+1264331</f>
        <v>2652427</v>
      </c>
      <c r="J95" s="103">
        <f t="shared" si="53"/>
        <v>583533.94000000006</v>
      </c>
      <c r="K95" s="103">
        <f t="shared" si="54"/>
        <v>3235960.94</v>
      </c>
      <c r="L95" s="103">
        <f t="shared" si="55"/>
        <v>3494837.8152000001</v>
      </c>
      <c r="M95" s="103">
        <f t="shared" si="56"/>
        <v>3763940.3269703998</v>
      </c>
      <c r="N95" s="98">
        <f t="shared" si="32"/>
        <v>243534.06000000006</v>
      </c>
      <c r="O95" s="98">
        <f t="shared" si="33"/>
        <v>256441.36518000005</v>
      </c>
      <c r="P95" s="98">
        <f t="shared" si="34"/>
        <v>269519.87480418006</v>
      </c>
      <c r="Q95" s="98">
        <f>152732+600000</f>
        <v>752732</v>
      </c>
      <c r="R95" s="98">
        <f t="shared" si="35"/>
        <v>812950.56</v>
      </c>
      <c r="S95" s="98">
        <f t="shared" si="36"/>
        <v>862540.54416000005</v>
      </c>
      <c r="T95" s="150">
        <f t="shared" si="37"/>
        <v>4564229.7403800003</v>
      </c>
      <c r="U95" s="150">
        <f t="shared" si="38"/>
        <v>4896000.7459345795</v>
      </c>
      <c r="V95" s="108">
        <f t="shared" si="57"/>
        <v>12800</v>
      </c>
      <c r="W95" s="103"/>
      <c r="X95" s="171">
        <f t="shared" si="39"/>
        <v>0</v>
      </c>
      <c r="Y95" s="171">
        <f t="shared" si="40"/>
        <v>0</v>
      </c>
      <c r="Z95" s="103"/>
      <c r="AA95" s="103">
        <v>12800</v>
      </c>
      <c r="AB95" s="105"/>
      <c r="AC95" s="98">
        <f t="shared" si="41"/>
        <v>0</v>
      </c>
      <c r="AD95" s="98">
        <f t="shared" si="42"/>
        <v>0</v>
      </c>
      <c r="AE95" s="98">
        <f t="shared" si="43"/>
        <v>0</v>
      </c>
      <c r="AF95" s="98">
        <f t="shared" si="44"/>
        <v>0</v>
      </c>
      <c r="AG95" s="98">
        <f t="shared" si="45"/>
        <v>12800</v>
      </c>
      <c r="AH95" s="98">
        <f t="shared" si="46"/>
        <v>13478.4</v>
      </c>
      <c r="AI95" s="98">
        <f t="shared" si="47"/>
        <v>14165.798399999998</v>
      </c>
      <c r="AJ95" s="105"/>
      <c r="AK95" s="98">
        <f t="shared" si="48"/>
        <v>0</v>
      </c>
      <c r="AL95" s="98">
        <f t="shared" si="49"/>
        <v>0</v>
      </c>
      <c r="AM95" s="150">
        <f t="shared" si="50"/>
        <v>13478.4</v>
      </c>
      <c r="AN95" s="150">
        <f t="shared" si="51"/>
        <v>14165.798399999998</v>
      </c>
      <c r="AO95" s="105"/>
      <c r="AP95" s="102">
        <f t="shared" si="52"/>
        <v>4245027</v>
      </c>
    </row>
    <row r="96" spans="1:43" s="18" customFormat="1" ht="31.5" hidden="1" x14ac:dyDescent="0.2">
      <c r="A96" s="36"/>
      <c r="B96" s="112" t="s">
        <v>200</v>
      </c>
      <c r="C96" s="114"/>
      <c r="D96" s="114" t="s">
        <v>201</v>
      </c>
      <c r="E96" s="114" t="s">
        <v>202</v>
      </c>
      <c r="F96" s="97" t="s">
        <v>203</v>
      </c>
      <c r="G96" s="96">
        <f t="shared" si="31"/>
        <v>524271</v>
      </c>
      <c r="H96" s="98">
        <v>524271</v>
      </c>
      <c r="I96" s="98">
        <v>408845</v>
      </c>
      <c r="J96" s="103">
        <f t="shared" si="53"/>
        <v>89945.9</v>
      </c>
      <c r="K96" s="103">
        <f t="shared" si="54"/>
        <v>498790.9</v>
      </c>
      <c r="L96" s="103">
        <f t="shared" si="55"/>
        <v>538694.17200000002</v>
      </c>
      <c r="M96" s="103">
        <f t="shared" si="56"/>
        <v>580173.62324400002</v>
      </c>
      <c r="N96" s="98">
        <f t="shared" si="32"/>
        <v>25480.099999999977</v>
      </c>
      <c r="O96" s="98">
        <f t="shared" si="33"/>
        <v>26830.545299999972</v>
      </c>
      <c r="P96" s="98">
        <f t="shared" si="34"/>
        <v>28198.903110299969</v>
      </c>
      <c r="Q96" s="98"/>
      <c r="R96" s="98">
        <f t="shared" si="35"/>
        <v>0</v>
      </c>
      <c r="S96" s="98">
        <f t="shared" si="36"/>
        <v>0</v>
      </c>
      <c r="T96" s="150">
        <f t="shared" si="37"/>
        <v>565524.71730000002</v>
      </c>
      <c r="U96" s="150">
        <f t="shared" si="38"/>
        <v>608372.52635429997</v>
      </c>
      <c r="V96" s="99">
        <f t="shared" si="57"/>
        <v>0</v>
      </c>
      <c r="W96" s="105"/>
      <c r="X96" s="171">
        <f t="shared" si="39"/>
        <v>0</v>
      </c>
      <c r="Y96" s="171">
        <f t="shared" si="40"/>
        <v>0</v>
      </c>
      <c r="Z96" s="105"/>
      <c r="AA96" s="105"/>
      <c r="AB96" s="105"/>
      <c r="AC96" s="98">
        <f t="shared" si="41"/>
        <v>0</v>
      </c>
      <c r="AD96" s="98">
        <f t="shared" si="42"/>
        <v>0</v>
      </c>
      <c r="AE96" s="98">
        <f t="shared" si="43"/>
        <v>0</v>
      </c>
      <c r="AF96" s="98">
        <f t="shared" si="44"/>
        <v>0</v>
      </c>
      <c r="AG96" s="98">
        <f t="shared" si="45"/>
        <v>0</v>
      </c>
      <c r="AH96" s="98">
        <f t="shared" si="46"/>
        <v>0</v>
      </c>
      <c r="AI96" s="98">
        <f t="shared" si="47"/>
        <v>0</v>
      </c>
      <c r="AJ96" s="105">
        <f>AB96</f>
        <v>0</v>
      </c>
      <c r="AK96" s="98">
        <f t="shared" si="48"/>
        <v>0</v>
      </c>
      <c r="AL96" s="98">
        <f t="shared" si="49"/>
        <v>0</v>
      </c>
      <c r="AM96" s="150">
        <f t="shared" si="50"/>
        <v>0</v>
      </c>
      <c r="AN96" s="150">
        <f t="shared" si="51"/>
        <v>0</v>
      </c>
      <c r="AO96" s="105">
        <f>AB96</f>
        <v>0</v>
      </c>
      <c r="AP96" s="102">
        <f t="shared" si="52"/>
        <v>524271</v>
      </c>
    </row>
    <row r="97" spans="1:43" s="18" customFormat="1" ht="15.75" hidden="1" x14ac:dyDescent="0.2">
      <c r="A97" s="36"/>
      <c r="B97" s="112" t="s">
        <v>204</v>
      </c>
      <c r="C97" s="114"/>
      <c r="D97" s="114" t="s">
        <v>205</v>
      </c>
      <c r="E97" s="114" t="s">
        <v>202</v>
      </c>
      <c r="F97" s="97" t="s">
        <v>206</v>
      </c>
      <c r="G97" s="96">
        <f t="shared" si="31"/>
        <v>39620</v>
      </c>
      <c r="H97" s="98">
        <v>39620</v>
      </c>
      <c r="I97" s="98"/>
      <c r="J97" s="103">
        <f t="shared" si="53"/>
        <v>0</v>
      </c>
      <c r="K97" s="103">
        <f t="shared" si="54"/>
        <v>0</v>
      </c>
      <c r="L97" s="103">
        <f t="shared" si="55"/>
        <v>0</v>
      </c>
      <c r="M97" s="103">
        <f t="shared" si="56"/>
        <v>0</v>
      </c>
      <c r="N97" s="98">
        <f t="shared" si="32"/>
        <v>39620</v>
      </c>
      <c r="O97" s="98">
        <f t="shared" si="33"/>
        <v>41719.86</v>
      </c>
      <c r="P97" s="98">
        <f t="shared" si="34"/>
        <v>43847.57286</v>
      </c>
      <c r="Q97" s="98"/>
      <c r="R97" s="98">
        <f t="shared" si="35"/>
        <v>0</v>
      </c>
      <c r="S97" s="98">
        <f t="shared" si="36"/>
        <v>0</v>
      </c>
      <c r="T97" s="150">
        <f t="shared" si="37"/>
        <v>41719.86</v>
      </c>
      <c r="U97" s="150">
        <f t="shared" si="38"/>
        <v>43847.57286</v>
      </c>
      <c r="V97" s="99">
        <f t="shared" si="57"/>
        <v>0</v>
      </c>
      <c r="W97" s="99"/>
      <c r="X97" s="171">
        <f t="shared" si="39"/>
        <v>0</v>
      </c>
      <c r="Y97" s="171">
        <f t="shared" si="40"/>
        <v>0</v>
      </c>
      <c r="Z97" s="99"/>
      <c r="AA97" s="99"/>
      <c r="AB97" s="99"/>
      <c r="AC97" s="98">
        <f t="shared" si="41"/>
        <v>0</v>
      </c>
      <c r="AD97" s="98">
        <f t="shared" si="42"/>
        <v>0</v>
      </c>
      <c r="AE97" s="98">
        <f t="shared" si="43"/>
        <v>0</v>
      </c>
      <c r="AF97" s="98">
        <f t="shared" si="44"/>
        <v>0</v>
      </c>
      <c r="AG97" s="98">
        <f t="shared" si="45"/>
        <v>0</v>
      </c>
      <c r="AH97" s="98">
        <f t="shared" si="46"/>
        <v>0</v>
      </c>
      <c r="AI97" s="98">
        <f t="shared" si="47"/>
        <v>0</v>
      </c>
      <c r="AJ97" s="99"/>
      <c r="AK97" s="98">
        <f t="shared" si="48"/>
        <v>0</v>
      </c>
      <c r="AL97" s="98">
        <f t="shared" si="49"/>
        <v>0</v>
      </c>
      <c r="AM97" s="150">
        <f t="shared" si="50"/>
        <v>0</v>
      </c>
      <c r="AN97" s="150">
        <f t="shared" si="51"/>
        <v>0</v>
      </c>
      <c r="AO97" s="99"/>
      <c r="AP97" s="102">
        <f t="shared" si="52"/>
        <v>39620</v>
      </c>
    </row>
    <row r="98" spans="1:43" s="185" customFormat="1" ht="31.5" hidden="1" x14ac:dyDescent="0.2">
      <c r="A98" s="153"/>
      <c r="B98" s="180" t="s">
        <v>207</v>
      </c>
      <c r="C98" s="181"/>
      <c r="D98" s="181" t="s">
        <v>208</v>
      </c>
      <c r="E98" s="181" t="s">
        <v>119</v>
      </c>
      <c r="F98" s="182" t="s">
        <v>209</v>
      </c>
      <c r="G98" s="149">
        <f t="shared" si="31"/>
        <v>49000</v>
      </c>
      <c r="H98" s="150">
        <v>49000</v>
      </c>
      <c r="I98" s="150"/>
      <c r="J98" s="183">
        <f t="shared" si="53"/>
        <v>0</v>
      </c>
      <c r="K98" s="183">
        <f t="shared" si="54"/>
        <v>0</v>
      </c>
      <c r="L98" s="183">
        <f t="shared" si="55"/>
        <v>0</v>
      </c>
      <c r="M98" s="183">
        <f t="shared" si="56"/>
        <v>0</v>
      </c>
      <c r="N98" s="150">
        <f t="shared" si="32"/>
        <v>49000</v>
      </c>
      <c r="O98" s="150">
        <f t="shared" si="33"/>
        <v>51597</v>
      </c>
      <c r="P98" s="150">
        <f t="shared" si="34"/>
        <v>54228.447</v>
      </c>
      <c r="Q98" s="150"/>
      <c r="R98" s="150">
        <f t="shared" si="35"/>
        <v>0</v>
      </c>
      <c r="S98" s="150">
        <f t="shared" si="36"/>
        <v>0</v>
      </c>
      <c r="T98" s="150">
        <f t="shared" si="37"/>
        <v>51597</v>
      </c>
      <c r="U98" s="150">
        <f t="shared" si="38"/>
        <v>54228.447</v>
      </c>
      <c r="V98" s="160">
        <f t="shared" si="57"/>
        <v>0</v>
      </c>
      <c r="W98" s="122"/>
      <c r="X98" s="150">
        <f t="shared" si="39"/>
        <v>0</v>
      </c>
      <c r="Y98" s="150">
        <f t="shared" si="40"/>
        <v>0</v>
      </c>
      <c r="Z98" s="122"/>
      <c r="AA98" s="122"/>
      <c r="AB98" s="122"/>
      <c r="AC98" s="150">
        <f t="shared" si="41"/>
        <v>0</v>
      </c>
      <c r="AD98" s="150">
        <f t="shared" si="42"/>
        <v>0</v>
      </c>
      <c r="AE98" s="150">
        <f t="shared" si="43"/>
        <v>0</v>
      </c>
      <c r="AF98" s="150">
        <f t="shared" si="44"/>
        <v>0</v>
      </c>
      <c r="AG98" s="150">
        <f t="shared" si="45"/>
        <v>0</v>
      </c>
      <c r="AH98" s="150">
        <f t="shared" si="46"/>
        <v>0</v>
      </c>
      <c r="AI98" s="150">
        <f t="shared" si="47"/>
        <v>0</v>
      </c>
      <c r="AJ98" s="122"/>
      <c r="AK98" s="150">
        <f t="shared" si="48"/>
        <v>0</v>
      </c>
      <c r="AL98" s="150">
        <f t="shared" si="49"/>
        <v>0</v>
      </c>
      <c r="AM98" s="150">
        <f t="shared" si="50"/>
        <v>0</v>
      </c>
      <c r="AN98" s="150">
        <f t="shared" si="51"/>
        <v>0</v>
      </c>
      <c r="AO98" s="122"/>
      <c r="AP98" s="184">
        <f t="shared" si="52"/>
        <v>49000</v>
      </c>
    </row>
    <row r="99" spans="1:43" s="185" customFormat="1" ht="32.25" hidden="1" thickBot="1" x14ac:dyDescent="0.25">
      <c r="A99" s="153"/>
      <c r="B99" s="186" t="s">
        <v>210</v>
      </c>
      <c r="C99" s="187"/>
      <c r="D99" s="187" t="s">
        <v>211</v>
      </c>
      <c r="E99" s="187" t="s">
        <v>212</v>
      </c>
      <c r="F99" s="188" t="s">
        <v>213</v>
      </c>
      <c r="G99" s="149">
        <f t="shared" si="31"/>
        <v>26000</v>
      </c>
      <c r="H99" s="189">
        <v>26000</v>
      </c>
      <c r="I99" s="189"/>
      <c r="J99" s="183">
        <f t="shared" si="53"/>
        <v>0</v>
      </c>
      <c r="K99" s="183">
        <f t="shared" si="54"/>
        <v>0</v>
      </c>
      <c r="L99" s="183">
        <f t="shared" si="55"/>
        <v>0</v>
      </c>
      <c r="M99" s="183">
        <f t="shared" si="56"/>
        <v>0</v>
      </c>
      <c r="N99" s="150">
        <f t="shared" si="32"/>
        <v>26000</v>
      </c>
      <c r="O99" s="150">
        <f t="shared" si="33"/>
        <v>27378</v>
      </c>
      <c r="P99" s="150">
        <f t="shared" si="34"/>
        <v>28774.277999999998</v>
      </c>
      <c r="Q99" s="189"/>
      <c r="R99" s="150">
        <f t="shared" si="35"/>
        <v>0</v>
      </c>
      <c r="S99" s="150">
        <f t="shared" si="36"/>
        <v>0</v>
      </c>
      <c r="T99" s="150">
        <f t="shared" si="37"/>
        <v>27378</v>
      </c>
      <c r="U99" s="150">
        <f t="shared" si="38"/>
        <v>28774.277999999998</v>
      </c>
      <c r="V99" s="190">
        <f t="shared" si="57"/>
        <v>0</v>
      </c>
      <c r="W99" s="191"/>
      <c r="X99" s="150">
        <f t="shared" si="39"/>
        <v>0</v>
      </c>
      <c r="Y99" s="150">
        <f t="shared" si="40"/>
        <v>0</v>
      </c>
      <c r="Z99" s="191"/>
      <c r="AA99" s="191"/>
      <c r="AB99" s="191"/>
      <c r="AC99" s="150">
        <f t="shared" si="41"/>
        <v>0</v>
      </c>
      <c r="AD99" s="150">
        <f t="shared" si="42"/>
        <v>0</v>
      </c>
      <c r="AE99" s="150">
        <f t="shared" si="43"/>
        <v>0</v>
      </c>
      <c r="AF99" s="150">
        <f t="shared" si="44"/>
        <v>0</v>
      </c>
      <c r="AG99" s="150">
        <f t="shared" si="45"/>
        <v>0</v>
      </c>
      <c r="AH99" s="150">
        <f t="shared" si="46"/>
        <v>0</v>
      </c>
      <c r="AI99" s="150">
        <f t="shared" si="47"/>
        <v>0</v>
      </c>
      <c r="AJ99" s="191"/>
      <c r="AK99" s="150">
        <f t="shared" si="48"/>
        <v>0</v>
      </c>
      <c r="AL99" s="150">
        <f t="shared" si="49"/>
        <v>0</v>
      </c>
      <c r="AM99" s="150">
        <f t="shared" si="50"/>
        <v>0</v>
      </c>
      <c r="AN99" s="150">
        <f t="shared" si="51"/>
        <v>0</v>
      </c>
      <c r="AO99" s="191"/>
      <c r="AP99" s="192">
        <f t="shared" si="52"/>
        <v>26000</v>
      </c>
    </row>
    <row r="100" spans="1:43" s="18" customFormat="1" ht="33.75" hidden="1" customHeight="1" thickBot="1" x14ac:dyDescent="0.25">
      <c r="A100" s="36"/>
      <c r="B100" s="123" t="s">
        <v>256</v>
      </c>
      <c r="C100" s="124" t="s">
        <v>256</v>
      </c>
      <c r="D100" s="125" t="s">
        <v>256</v>
      </c>
      <c r="E100" s="125" t="s">
        <v>256</v>
      </c>
      <c r="F100" s="126" t="s">
        <v>257</v>
      </c>
      <c r="G100" s="127">
        <f t="shared" ref="G100:U100" si="58">G13+G68+G90</f>
        <v>141307718</v>
      </c>
      <c r="H100" s="127">
        <f t="shared" si="58"/>
        <v>141207718</v>
      </c>
      <c r="I100" s="127">
        <f t="shared" si="58"/>
        <v>89831719</v>
      </c>
      <c r="J100" s="127">
        <f t="shared" si="58"/>
        <v>19762978.18</v>
      </c>
      <c r="K100" s="127">
        <f t="shared" si="58"/>
        <v>109594697.18000001</v>
      </c>
      <c r="L100" s="127">
        <f t="shared" si="58"/>
        <v>118362272.9544</v>
      </c>
      <c r="M100" s="127">
        <f t="shared" si="58"/>
        <v>127476167.97188881</v>
      </c>
      <c r="N100" s="127">
        <f t="shared" si="58"/>
        <v>18794320.82</v>
      </c>
      <c r="O100" s="127">
        <f t="shared" si="58"/>
        <v>19790419.823459998</v>
      </c>
      <c r="P100" s="127">
        <f t="shared" si="58"/>
        <v>20799731.234456457</v>
      </c>
      <c r="Q100" s="127">
        <f t="shared" si="58"/>
        <v>12818700</v>
      </c>
      <c r="R100" s="127">
        <f t="shared" si="58"/>
        <v>13844196.000000002</v>
      </c>
      <c r="S100" s="127">
        <f t="shared" si="58"/>
        <v>14688691.956</v>
      </c>
      <c r="T100" s="151">
        <f t="shared" si="58"/>
        <v>152102188.77786002</v>
      </c>
      <c r="U100" s="151">
        <f t="shared" si="58"/>
        <v>163075261.46234524</v>
      </c>
      <c r="V100" s="128">
        <f>AA100+W100</f>
        <v>3848194</v>
      </c>
      <c r="W100" s="129">
        <f t="shared" ref="W100:AO100" si="59">W13+W68+W90</f>
        <v>2330197</v>
      </c>
      <c r="X100" s="129">
        <f t="shared" si="59"/>
        <v>2453697.4410000001</v>
      </c>
      <c r="Y100" s="129">
        <f t="shared" si="59"/>
        <v>2578836.0104909996</v>
      </c>
      <c r="Z100" s="129">
        <f t="shared" si="59"/>
        <v>2230197</v>
      </c>
      <c r="AA100" s="129">
        <f t="shared" si="59"/>
        <v>1517997</v>
      </c>
      <c r="AB100" s="129">
        <f t="shared" si="59"/>
        <v>206965</v>
      </c>
      <c r="AC100" s="129">
        <f t="shared" si="59"/>
        <v>45532.3</v>
      </c>
      <c r="AD100" s="129">
        <f t="shared" si="59"/>
        <v>252497.3</v>
      </c>
      <c r="AE100" s="129">
        <f t="shared" si="59"/>
        <v>272697.08400000003</v>
      </c>
      <c r="AF100" s="129">
        <f t="shared" si="59"/>
        <v>293694.75946800003</v>
      </c>
      <c r="AG100" s="129">
        <f t="shared" si="59"/>
        <v>3579619.6999999997</v>
      </c>
      <c r="AH100" s="129">
        <f t="shared" si="59"/>
        <v>3769339.5441000001</v>
      </c>
      <c r="AI100" s="129">
        <f t="shared" si="59"/>
        <v>3961575.8608490997</v>
      </c>
      <c r="AJ100" s="129">
        <f t="shared" si="59"/>
        <v>16077</v>
      </c>
      <c r="AK100" s="129">
        <f t="shared" si="59"/>
        <v>17363.16</v>
      </c>
      <c r="AL100" s="129">
        <f t="shared" si="59"/>
        <v>18422.312759999997</v>
      </c>
      <c r="AM100" s="161">
        <f t="shared" si="59"/>
        <v>4059399.7881</v>
      </c>
      <c r="AN100" s="161">
        <f t="shared" si="59"/>
        <v>4273692.9330770997</v>
      </c>
      <c r="AO100" s="129">
        <f t="shared" si="59"/>
        <v>2330197</v>
      </c>
      <c r="AP100" s="130">
        <f t="shared" si="52"/>
        <v>145155912</v>
      </c>
      <c r="AQ100" s="60">
        <f>AP13+AP68+AP90</f>
        <v>145155912</v>
      </c>
    </row>
    <row r="101" spans="1:43" s="18" customFormat="1" ht="32.25" hidden="1" thickBot="1" x14ac:dyDescent="0.25">
      <c r="A101" s="36"/>
      <c r="B101" s="123" t="s">
        <v>256</v>
      </c>
      <c r="C101" s="124" t="s">
        <v>256</v>
      </c>
      <c r="D101" s="125" t="s">
        <v>256</v>
      </c>
      <c r="E101" s="125" t="s">
        <v>256</v>
      </c>
      <c r="F101" s="126" t="s">
        <v>258</v>
      </c>
      <c r="G101" s="127">
        <f t="shared" ref="G101:N101" si="60">G70+G61</f>
        <v>39805000</v>
      </c>
      <c r="H101" s="127">
        <f t="shared" si="60"/>
        <v>39805000</v>
      </c>
      <c r="I101" s="127">
        <f t="shared" si="60"/>
        <v>29784836</v>
      </c>
      <c r="J101" s="127">
        <f t="shared" si="60"/>
        <v>6552663.9199999999</v>
      </c>
      <c r="K101" s="127">
        <f t="shared" si="60"/>
        <v>36337499.920000002</v>
      </c>
      <c r="L101" s="127">
        <f t="shared" si="60"/>
        <v>39244499.913600005</v>
      </c>
      <c r="M101" s="127">
        <f t="shared" si="60"/>
        <v>42266326.406947203</v>
      </c>
      <c r="N101" s="127">
        <f t="shared" si="60"/>
        <v>3467500.0799999982</v>
      </c>
      <c r="O101" s="127">
        <f t="shared" ref="O101:U101" si="61">O70+O61</f>
        <v>3651277.5842399979</v>
      </c>
      <c r="P101" s="127">
        <f t="shared" si="61"/>
        <v>3837492.7410362377</v>
      </c>
      <c r="Q101" s="127">
        <f t="shared" si="61"/>
        <v>0</v>
      </c>
      <c r="R101" s="127">
        <f t="shared" si="61"/>
        <v>0</v>
      </c>
      <c r="S101" s="127">
        <f t="shared" si="61"/>
        <v>0</v>
      </c>
      <c r="T101" s="151">
        <f t="shared" si="61"/>
        <v>42895777.497840002</v>
      </c>
      <c r="U101" s="151">
        <f t="shared" si="61"/>
        <v>46103819.147983447</v>
      </c>
      <c r="V101" s="127">
        <f t="shared" ref="V101:AP101" si="62">V70+V61</f>
        <v>0</v>
      </c>
      <c r="W101" s="127">
        <f t="shared" si="62"/>
        <v>0</v>
      </c>
      <c r="X101" s="127">
        <f t="shared" si="62"/>
        <v>0</v>
      </c>
      <c r="Y101" s="127">
        <f t="shared" si="62"/>
        <v>0</v>
      </c>
      <c r="Z101" s="127">
        <f t="shared" si="62"/>
        <v>0</v>
      </c>
      <c r="AA101" s="127">
        <f t="shared" si="62"/>
        <v>0</v>
      </c>
      <c r="AB101" s="127">
        <f t="shared" si="62"/>
        <v>0</v>
      </c>
      <c r="AC101" s="127">
        <f t="shared" si="62"/>
        <v>0</v>
      </c>
      <c r="AD101" s="127">
        <f t="shared" si="62"/>
        <v>0</v>
      </c>
      <c r="AE101" s="127">
        <f t="shared" si="62"/>
        <v>0</v>
      </c>
      <c r="AF101" s="127">
        <f t="shared" si="62"/>
        <v>0</v>
      </c>
      <c r="AG101" s="127">
        <f t="shared" si="62"/>
        <v>0</v>
      </c>
      <c r="AH101" s="127">
        <f t="shared" si="62"/>
        <v>0</v>
      </c>
      <c r="AI101" s="127">
        <f t="shared" si="62"/>
        <v>0</v>
      </c>
      <c r="AJ101" s="127">
        <f t="shared" si="62"/>
        <v>0</v>
      </c>
      <c r="AK101" s="127">
        <f t="shared" si="62"/>
        <v>0</v>
      </c>
      <c r="AL101" s="127">
        <f t="shared" si="62"/>
        <v>0</v>
      </c>
      <c r="AM101" s="151">
        <f t="shared" si="62"/>
        <v>0</v>
      </c>
      <c r="AN101" s="151">
        <f t="shared" si="62"/>
        <v>0</v>
      </c>
      <c r="AO101" s="127">
        <f t="shared" si="62"/>
        <v>0</v>
      </c>
      <c r="AP101" s="127">
        <f t="shared" si="62"/>
        <v>39805000</v>
      </c>
      <c r="AQ101" s="60">
        <f>AP100-AQ100</f>
        <v>0</v>
      </c>
    </row>
    <row r="102" spans="1:43" s="18" customFormat="1" ht="32.25" hidden="1" thickBot="1" x14ac:dyDescent="0.25">
      <c r="A102" s="36"/>
      <c r="B102" s="123" t="s">
        <v>256</v>
      </c>
      <c r="C102" s="124" t="s">
        <v>256</v>
      </c>
      <c r="D102" s="125" t="s">
        <v>256</v>
      </c>
      <c r="E102" s="125" t="s">
        <v>256</v>
      </c>
      <c r="F102" s="126" t="s">
        <v>259</v>
      </c>
      <c r="G102" s="127">
        <f t="shared" ref="G102:AP102" si="63">G17+G71+G72</f>
        <v>1300596</v>
      </c>
      <c r="H102" s="127">
        <f t="shared" si="63"/>
        <v>1300596</v>
      </c>
      <c r="I102" s="127">
        <f t="shared" si="63"/>
        <v>1044696</v>
      </c>
      <c r="J102" s="127">
        <f t="shared" si="63"/>
        <v>229832.12</v>
      </c>
      <c r="K102" s="127">
        <f t="shared" si="63"/>
        <v>1274528.1199999999</v>
      </c>
      <c r="L102" s="127">
        <f t="shared" si="63"/>
        <v>1376490.3696000001</v>
      </c>
      <c r="M102" s="127">
        <f t="shared" si="63"/>
        <v>1482480.1280592</v>
      </c>
      <c r="N102" s="127">
        <f t="shared" si="63"/>
        <v>20530.880000000019</v>
      </c>
      <c r="O102" s="127">
        <f t="shared" si="63"/>
        <v>21619.01664000002</v>
      </c>
      <c r="P102" s="127">
        <f t="shared" si="63"/>
        <v>22721.586488640016</v>
      </c>
      <c r="Q102" s="127">
        <f t="shared" si="63"/>
        <v>5537</v>
      </c>
      <c r="R102" s="127">
        <f t="shared" si="63"/>
        <v>5979.96</v>
      </c>
      <c r="S102" s="127">
        <f t="shared" si="63"/>
        <v>6344.7375599999996</v>
      </c>
      <c r="T102" s="151">
        <f t="shared" si="63"/>
        <v>1404089.3462400001</v>
      </c>
      <c r="U102" s="151">
        <f t="shared" si="63"/>
        <v>1511546.4521078402</v>
      </c>
      <c r="V102" s="127">
        <f t="shared" si="63"/>
        <v>130197</v>
      </c>
      <c r="W102" s="127">
        <f t="shared" si="63"/>
        <v>130197</v>
      </c>
      <c r="X102" s="127">
        <f t="shared" si="63"/>
        <v>137097.44099999999</v>
      </c>
      <c r="Y102" s="127">
        <f t="shared" si="63"/>
        <v>144089.41049099999</v>
      </c>
      <c r="Z102" s="127">
        <f t="shared" si="63"/>
        <v>130197</v>
      </c>
      <c r="AA102" s="127">
        <f t="shared" si="63"/>
        <v>0</v>
      </c>
      <c r="AB102" s="127">
        <f t="shared" si="63"/>
        <v>0</v>
      </c>
      <c r="AC102" s="127">
        <f t="shared" si="63"/>
        <v>0</v>
      </c>
      <c r="AD102" s="127">
        <f t="shared" si="63"/>
        <v>0</v>
      </c>
      <c r="AE102" s="127">
        <f t="shared" si="63"/>
        <v>0</v>
      </c>
      <c r="AF102" s="127">
        <f t="shared" si="63"/>
        <v>0</v>
      </c>
      <c r="AG102" s="127">
        <f t="shared" si="63"/>
        <v>130197</v>
      </c>
      <c r="AH102" s="127">
        <f t="shared" si="63"/>
        <v>137097.44099999999</v>
      </c>
      <c r="AI102" s="127">
        <f t="shared" si="63"/>
        <v>144089.41049099999</v>
      </c>
      <c r="AJ102" s="127">
        <f t="shared" si="63"/>
        <v>0</v>
      </c>
      <c r="AK102" s="127">
        <f t="shared" si="63"/>
        <v>0</v>
      </c>
      <c r="AL102" s="127">
        <f t="shared" si="63"/>
        <v>0</v>
      </c>
      <c r="AM102" s="151">
        <f t="shared" si="63"/>
        <v>137097.44099999999</v>
      </c>
      <c r="AN102" s="151">
        <f t="shared" si="63"/>
        <v>144089.41049099999</v>
      </c>
      <c r="AO102" s="127">
        <f t="shared" si="63"/>
        <v>130197</v>
      </c>
      <c r="AP102" s="131">
        <f t="shared" si="63"/>
        <v>1430793</v>
      </c>
    </row>
    <row r="103" spans="1:43" s="18" customFormat="1" hidden="1" x14ac:dyDescent="0.2">
      <c r="A103" s="36"/>
      <c r="B103" s="16"/>
      <c r="C103" s="36"/>
      <c r="D103" s="36"/>
      <c r="E103" s="36"/>
      <c r="F103" s="36"/>
      <c r="G103" s="132" t="s">
        <v>260</v>
      </c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52"/>
      <c r="U103" s="152"/>
      <c r="V103" s="134"/>
      <c r="W103" s="134"/>
      <c r="X103" s="172"/>
      <c r="Y103" s="172"/>
      <c r="Z103" s="134"/>
      <c r="AA103" s="134"/>
      <c r="AB103" s="134"/>
      <c r="AC103" s="141"/>
      <c r="AD103" s="141"/>
      <c r="AE103" s="141"/>
      <c r="AF103" s="141"/>
      <c r="AG103" s="141"/>
      <c r="AH103" s="141"/>
      <c r="AI103" s="141"/>
      <c r="AJ103" s="135"/>
      <c r="AK103" s="135"/>
      <c r="AL103" s="135"/>
      <c r="AM103" s="162"/>
      <c r="AN103" s="162"/>
      <c r="AO103" s="136"/>
      <c r="AP103" s="138">
        <f>AP100-'[1]Дод 1'!C90</f>
        <v>0</v>
      </c>
    </row>
    <row r="104" spans="1:43" hidden="1" x14ac:dyDescent="0.2">
      <c r="G104" s="61">
        <f>G100-'[1]Дод 1'!D90</f>
        <v>-2230197</v>
      </c>
      <c r="H104" s="61"/>
      <c r="V104" s="139"/>
    </row>
    <row r="105" spans="1:43" hidden="1" x14ac:dyDescent="0.2">
      <c r="G105" s="61">
        <f>G104+V105</f>
        <v>0</v>
      </c>
      <c r="V105" s="139">
        <f>V100-'[1]Дод 1'!E90</f>
        <v>2230197</v>
      </c>
    </row>
    <row r="106" spans="1:43" hidden="1" x14ac:dyDescent="0.2"/>
    <row r="107" spans="1:43" hidden="1" x14ac:dyDescent="0.2"/>
    <row r="108" spans="1:43" hidden="1" x14ac:dyDescent="0.2"/>
    <row r="109" spans="1:43" hidden="1" x14ac:dyDescent="0.2"/>
    <row r="110" spans="1:43" hidden="1" x14ac:dyDescent="0.2"/>
    <row r="111" spans="1:43" hidden="1" x14ac:dyDescent="0.2"/>
    <row r="112" spans="1:43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</sheetData>
  <mergeCells count="21">
    <mergeCell ref="V9:AO9"/>
    <mergeCell ref="V10:V11"/>
    <mergeCell ref="AA1:AJ1"/>
    <mergeCell ref="B5:AP5"/>
    <mergeCell ref="B9:B11"/>
    <mergeCell ref="C9:C11"/>
    <mergeCell ref="D9:D11"/>
    <mergeCell ref="E9:E11"/>
    <mergeCell ref="AB10:AJ10"/>
    <mergeCell ref="F9:F11"/>
    <mergeCell ref="G9:T9"/>
    <mergeCell ref="G10:G11"/>
    <mergeCell ref="H10:H11"/>
    <mergeCell ref="I10:Q10"/>
    <mergeCell ref="T10:T11"/>
    <mergeCell ref="AP9:AP11"/>
    <mergeCell ref="AO10:AO11"/>
    <mergeCell ref="U10:U11"/>
    <mergeCell ref="AM10:AM11"/>
    <mergeCell ref="AN10:AN11"/>
    <mergeCell ref="Z10:Z11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31" fitToHeight="5" orientation="landscape" horizontalDpi="300" verticalDpi="30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S143"/>
  <sheetViews>
    <sheetView showZeros="0" topLeftCell="K1" zoomScaleNormal="100" zoomScaleSheetLayoutView="90" workbookViewId="0">
      <selection activeCell="K2" sqref="A2:XFD143"/>
    </sheetView>
  </sheetViews>
  <sheetFormatPr defaultColWidth="7.85546875" defaultRowHeight="24.95" customHeight="1" x14ac:dyDescent="0.2"/>
  <cols>
    <col min="1" max="1" width="3.28515625" style="16" customWidth="1"/>
    <col min="2" max="2" width="10.28515625" style="16" customWidth="1"/>
    <col min="3" max="3" width="0.140625" style="16" hidden="1" customWidth="1"/>
    <col min="4" max="4" width="19.5703125" style="16" customWidth="1"/>
    <col min="5" max="5" width="11.7109375" style="16" customWidth="1"/>
    <col min="6" max="6" width="48.42578125" style="16" customWidth="1"/>
    <col min="7" max="7" width="13.140625" style="16" customWidth="1"/>
    <col min="8" max="8" width="12.7109375" style="16" customWidth="1"/>
    <col min="9" max="10" width="11.42578125" style="16" customWidth="1"/>
    <col min="11" max="13" width="11.42578125" style="36" customWidth="1"/>
    <col min="14" max="16" width="11.42578125" style="224" customWidth="1"/>
    <col min="17" max="19" width="10.85546875" style="16" customWidth="1"/>
    <col min="20" max="20" width="11.28515625" style="153" customWidth="1"/>
    <col min="21" max="21" width="12" style="153" customWidth="1"/>
    <col min="22" max="22" width="9.5703125" style="140" customWidth="1"/>
    <col min="23" max="23" width="9" style="140" customWidth="1"/>
    <col min="24" max="24" width="9" style="173" customWidth="1"/>
    <col min="25" max="25" width="9.7109375" style="173" customWidth="1"/>
    <col min="26" max="26" width="11.28515625" style="140" customWidth="1"/>
    <col min="27" max="27" width="10.5703125" style="140" customWidth="1"/>
    <col min="28" max="35" width="9.5703125" style="140" customWidth="1"/>
    <col min="36" max="38" width="10" style="140" customWidth="1"/>
    <col min="39" max="39" width="10.7109375" style="162" customWidth="1"/>
    <col min="40" max="40" width="10" style="162" customWidth="1"/>
    <col min="41" max="41" width="9.28515625" style="140" customWidth="1"/>
    <col min="42" max="42" width="11.5703125" style="16" customWidth="1"/>
    <col min="43" max="43" width="11.5703125" style="247" customWidth="1"/>
    <col min="44" max="44" width="11.85546875" style="247" customWidth="1"/>
    <col min="45" max="16384" width="7.85546875" style="19"/>
  </cols>
  <sheetData>
    <row r="1" spans="1:45" ht="24.95" customHeight="1" x14ac:dyDescent="0.25">
      <c r="B1" s="64"/>
      <c r="C1" s="64"/>
      <c r="D1" s="64"/>
      <c r="E1" s="64"/>
      <c r="F1" s="64"/>
      <c r="G1" s="64"/>
      <c r="H1" s="64"/>
      <c r="I1" s="64"/>
      <c r="J1" s="64"/>
      <c r="K1" s="24"/>
      <c r="L1" s="24"/>
      <c r="M1" s="24"/>
      <c r="N1" s="345"/>
      <c r="O1" s="345"/>
      <c r="P1" s="345"/>
      <c r="Q1" s="64"/>
      <c r="R1" s="64"/>
      <c r="S1" s="64"/>
      <c r="T1" s="143"/>
      <c r="U1" s="143"/>
      <c r="V1" s="65"/>
      <c r="W1" s="65"/>
      <c r="X1" s="163"/>
      <c r="Y1" s="163"/>
      <c r="Z1" s="65"/>
      <c r="AA1" s="478" t="s">
        <v>220</v>
      </c>
      <c r="AB1" s="478"/>
      <c r="AC1" s="478"/>
      <c r="AD1" s="478"/>
      <c r="AE1" s="478"/>
      <c r="AF1" s="478"/>
      <c r="AG1" s="478"/>
      <c r="AH1" s="478"/>
      <c r="AI1" s="478"/>
      <c r="AJ1" s="478"/>
      <c r="AK1" s="154"/>
      <c r="AL1" s="154"/>
      <c r="AM1" s="155"/>
      <c r="AN1" s="155"/>
      <c r="AO1" s="65"/>
      <c r="AP1" s="64"/>
      <c r="AQ1" s="327"/>
    </row>
    <row r="2" spans="1:45" ht="24.95" hidden="1" customHeight="1" x14ac:dyDescent="0.25">
      <c r="B2" s="64"/>
      <c r="C2" s="64"/>
      <c r="D2" s="64"/>
      <c r="E2" s="64"/>
      <c r="F2" s="64"/>
      <c r="G2" s="64"/>
      <c r="H2" s="64"/>
      <c r="I2" s="64"/>
      <c r="J2" s="64"/>
      <c r="K2" s="24"/>
      <c r="L2" s="24"/>
      <c r="M2" s="24"/>
      <c r="N2" s="345"/>
      <c r="O2" s="345"/>
      <c r="P2" s="345"/>
      <c r="Q2" s="64"/>
      <c r="R2" s="64"/>
      <c r="S2" s="64"/>
      <c r="T2" s="143"/>
      <c r="U2" s="143"/>
      <c r="V2" s="65"/>
      <c r="W2" s="65"/>
      <c r="X2" s="163"/>
      <c r="Y2" s="163"/>
      <c r="Z2" s="65"/>
      <c r="AA2" s="67" t="s">
        <v>221</v>
      </c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156"/>
      <c r="AN2" s="156"/>
      <c r="AO2" s="65"/>
      <c r="AP2" s="64"/>
      <c r="AQ2" s="327"/>
    </row>
    <row r="3" spans="1:45" ht="24.95" hidden="1" customHeight="1" x14ac:dyDescent="0.25">
      <c r="B3" s="64"/>
      <c r="C3" s="64"/>
      <c r="D3" s="64"/>
      <c r="E3" s="64"/>
      <c r="F3" s="64"/>
      <c r="G3" s="64"/>
      <c r="H3" s="64"/>
      <c r="I3" s="64"/>
      <c r="J3" s="64"/>
      <c r="K3" s="24"/>
      <c r="L3" s="24"/>
      <c r="M3" s="24"/>
      <c r="N3" s="345"/>
      <c r="O3" s="345"/>
      <c r="P3" s="345"/>
      <c r="Q3" s="64"/>
      <c r="R3" s="64"/>
      <c r="S3" s="64"/>
      <c r="T3" s="143"/>
      <c r="U3" s="143"/>
      <c r="V3" s="65"/>
      <c r="W3" s="65"/>
      <c r="X3" s="163"/>
      <c r="Y3" s="163"/>
      <c r="Z3" s="65"/>
      <c r="AA3" s="67" t="s">
        <v>222</v>
      </c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156"/>
      <c r="AN3" s="156"/>
      <c r="AO3" s="65"/>
      <c r="AP3" s="64"/>
      <c r="AQ3" s="327"/>
    </row>
    <row r="4" spans="1:45" ht="24.95" hidden="1" customHeight="1" x14ac:dyDescent="0.25">
      <c r="B4" s="64"/>
      <c r="C4" s="64"/>
      <c r="D4" s="64"/>
      <c r="E4" s="64"/>
      <c r="F4" s="64"/>
      <c r="G4" s="64"/>
      <c r="H4" s="64"/>
      <c r="I4" s="64"/>
      <c r="J4" s="64"/>
      <c r="K4" s="24"/>
      <c r="L4" s="24"/>
      <c r="M4" s="24"/>
      <c r="N4" s="345"/>
      <c r="O4" s="345"/>
      <c r="P4" s="345"/>
      <c r="Q4" s="64"/>
      <c r="R4" s="64"/>
      <c r="S4" s="64"/>
      <c r="T4" s="143"/>
      <c r="U4" s="143"/>
      <c r="V4" s="65"/>
      <c r="W4" s="65"/>
      <c r="X4" s="163"/>
      <c r="Y4" s="163"/>
      <c r="Z4" s="65"/>
      <c r="AA4" s="67" t="s">
        <v>223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156"/>
      <c r="AN4" s="156"/>
      <c r="AO4" s="65"/>
      <c r="AP4" s="64"/>
      <c r="AQ4" s="327"/>
    </row>
    <row r="5" spans="1:45" ht="43.5" hidden="1" customHeight="1" x14ac:dyDescent="0.2">
      <c r="B5" s="461" t="s">
        <v>411</v>
      </c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327"/>
    </row>
    <row r="6" spans="1:45" ht="24.95" hidden="1" customHeight="1" x14ac:dyDescent="0.3">
      <c r="B6" s="69"/>
      <c r="C6" s="69"/>
      <c r="D6" s="70">
        <v>11503000000</v>
      </c>
      <c r="E6" s="69"/>
      <c r="F6" s="71"/>
      <c r="G6" s="69"/>
      <c r="H6" s="69"/>
      <c r="I6" s="69"/>
      <c r="J6" s="69"/>
      <c r="K6" s="341"/>
      <c r="L6" s="341"/>
      <c r="M6" s="341"/>
      <c r="N6" s="346"/>
      <c r="O6" s="346"/>
      <c r="P6" s="346"/>
      <c r="Q6" s="69"/>
      <c r="R6" s="69"/>
      <c r="S6" s="69"/>
      <c r="T6" s="144"/>
      <c r="U6" s="144"/>
      <c r="V6" s="69"/>
      <c r="W6" s="69"/>
      <c r="X6" s="164"/>
      <c r="Y6" s="164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144"/>
      <c r="AN6" s="144"/>
      <c r="AO6" s="69"/>
      <c r="AP6" s="69"/>
      <c r="AQ6" s="327"/>
    </row>
    <row r="7" spans="1:45" ht="24.95" hidden="1" customHeight="1" x14ac:dyDescent="0.3">
      <c r="B7" s="69"/>
      <c r="C7" s="69"/>
      <c r="D7" s="70" t="s">
        <v>225</v>
      </c>
      <c r="E7" s="69"/>
      <c r="F7" s="71"/>
      <c r="G7" s="69"/>
      <c r="H7" s="69"/>
      <c r="I7" s="69"/>
      <c r="J7" s="69"/>
      <c r="K7" s="341"/>
      <c r="L7" s="341"/>
      <c r="M7" s="341"/>
      <c r="N7" s="346"/>
      <c r="O7" s="346"/>
      <c r="P7" s="346"/>
      <c r="Q7" s="69"/>
      <c r="R7" s="69"/>
      <c r="S7" s="69"/>
      <c r="T7" s="144"/>
      <c r="U7" s="144"/>
      <c r="V7" s="69"/>
      <c r="W7" s="69"/>
      <c r="X7" s="164"/>
      <c r="Y7" s="164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144"/>
      <c r="AN7" s="144"/>
      <c r="AO7" s="69"/>
      <c r="AP7" s="69"/>
      <c r="AQ7" s="328" t="s">
        <v>387</v>
      </c>
      <c r="AR7" s="328" t="s">
        <v>388</v>
      </c>
      <c r="AS7" s="326"/>
    </row>
    <row r="8" spans="1:45" ht="24.95" hidden="1" customHeight="1" thickBot="1" x14ac:dyDescent="0.35">
      <c r="B8" s="72"/>
      <c r="C8" s="73"/>
      <c r="D8" s="73"/>
      <c r="E8" s="73"/>
      <c r="F8" s="73"/>
      <c r="G8" s="73"/>
      <c r="H8" s="73"/>
      <c r="I8" s="74"/>
      <c r="J8" s="74"/>
      <c r="K8" s="342"/>
      <c r="L8" s="342"/>
      <c r="M8" s="342"/>
      <c r="N8" s="347"/>
      <c r="O8" s="347"/>
      <c r="P8" s="347"/>
      <c r="Q8" s="73"/>
      <c r="R8" s="73"/>
      <c r="S8" s="73"/>
      <c r="T8" s="145"/>
      <c r="U8" s="145"/>
      <c r="V8" s="75"/>
      <c r="W8" s="76"/>
      <c r="X8" s="165"/>
      <c r="Y8" s="165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157"/>
      <c r="AN8" s="157"/>
      <c r="AO8" s="76"/>
      <c r="AP8" s="77" t="s">
        <v>226</v>
      </c>
    </row>
    <row r="9" spans="1:45" s="18" customFormat="1" ht="24.95" hidden="1" customHeight="1" x14ac:dyDescent="0.2">
      <c r="A9" s="22"/>
      <c r="B9" s="479" t="s">
        <v>19</v>
      </c>
      <c r="C9" s="481" t="s">
        <v>20</v>
      </c>
      <c r="D9" s="481" t="s">
        <v>227</v>
      </c>
      <c r="E9" s="481" t="s">
        <v>22</v>
      </c>
      <c r="F9" s="486" t="s">
        <v>228</v>
      </c>
      <c r="G9" s="475" t="s">
        <v>4</v>
      </c>
      <c r="H9" s="475"/>
      <c r="I9" s="475"/>
      <c r="J9" s="475"/>
      <c r="K9" s="475"/>
      <c r="L9" s="475"/>
      <c r="M9" s="475"/>
      <c r="N9" s="475"/>
      <c r="O9" s="475"/>
      <c r="P9" s="475"/>
      <c r="Q9" s="475"/>
      <c r="R9" s="475"/>
      <c r="S9" s="475"/>
      <c r="T9" s="475"/>
      <c r="U9" s="146"/>
      <c r="V9" s="475" t="s">
        <v>5</v>
      </c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75"/>
      <c r="AJ9" s="475"/>
      <c r="AK9" s="475"/>
      <c r="AL9" s="475"/>
      <c r="AM9" s="475"/>
      <c r="AN9" s="475"/>
      <c r="AO9" s="475"/>
      <c r="AP9" s="488" t="s">
        <v>14</v>
      </c>
      <c r="AQ9" s="247"/>
      <c r="AR9" s="247"/>
    </row>
    <row r="10" spans="1:45" s="18" customFormat="1" ht="24.95" hidden="1" customHeight="1" x14ac:dyDescent="0.2">
      <c r="A10" s="23"/>
      <c r="B10" s="480"/>
      <c r="C10" s="463"/>
      <c r="D10" s="482"/>
      <c r="E10" s="482"/>
      <c r="F10" s="487"/>
      <c r="G10" s="476" t="s">
        <v>28</v>
      </c>
      <c r="H10" s="470" t="s">
        <v>229</v>
      </c>
      <c r="I10" s="476" t="s">
        <v>230</v>
      </c>
      <c r="J10" s="476"/>
      <c r="K10" s="476"/>
      <c r="L10" s="476"/>
      <c r="M10" s="476"/>
      <c r="N10" s="476"/>
      <c r="O10" s="476"/>
      <c r="P10" s="476"/>
      <c r="Q10" s="476"/>
      <c r="R10" s="142"/>
      <c r="S10" s="142"/>
      <c r="T10" s="472" t="s">
        <v>268</v>
      </c>
      <c r="U10" s="472" t="s">
        <v>269</v>
      </c>
      <c r="V10" s="476" t="s">
        <v>28</v>
      </c>
      <c r="W10" s="78"/>
      <c r="X10" s="166"/>
      <c r="Y10" s="166"/>
      <c r="Z10" s="471" t="s">
        <v>232</v>
      </c>
      <c r="AA10" s="79"/>
      <c r="AB10" s="483" t="s">
        <v>230</v>
      </c>
      <c r="AC10" s="484"/>
      <c r="AD10" s="484"/>
      <c r="AE10" s="484"/>
      <c r="AF10" s="484"/>
      <c r="AG10" s="484"/>
      <c r="AH10" s="484"/>
      <c r="AI10" s="484"/>
      <c r="AJ10" s="485"/>
      <c r="AK10" s="142"/>
      <c r="AL10" s="142"/>
      <c r="AM10" s="472" t="s">
        <v>269</v>
      </c>
      <c r="AN10" s="472" t="s">
        <v>409</v>
      </c>
      <c r="AO10" s="470" t="s">
        <v>231</v>
      </c>
      <c r="AP10" s="489"/>
      <c r="AQ10" s="247"/>
      <c r="AR10" s="247"/>
    </row>
    <row r="11" spans="1:45" s="18" customFormat="1" ht="39.75" hidden="1" customHeight="1" thickBot="1" x14ac:dyDescent="0.25">
      <c r="A11" s="24"/>
      <c r="B11" s="480"/>
      <c r="C11" s="463"/>
      <c r="D11" s="482"/>
      <c r="E11" s="482"/>
      <c r="F11" s="487"/>
      <c r="G11" s="477"/>
      <c r="H11" s="471"/>
      <c r="I11" s="79" t="s">
        <v>233</v>
      </c>
      <c r="J11" s="79" t="s">
        <v>261</v>
      </c>
      <c r="K11" s="79" t="s">
        <v>262</v>
      </c>
      <c r="L11" s="79" t="s">
        <v>263</v>
      </c>
      <c r="M11" s="79" t="s">
        <v>264</v>
      </c>
      <c r="N11" s="348" t="s">
        <v>267</v>
      </c>
      <c r="O11" s="348" t="s">
        <v>265</v>
      </c>
      <c r="P11" s="348" t="s">
        <v>266</v>
      </c>
      <c r="Q11" s="79" t="s">
        <v>234</v>
      </c>
      <c r="R11" s="79" t="s">
        <v>270</v>
      </c>
      <c r="S11" s="79" t="s">
        <v>271</v>
      </c>
      <c r="T11" s="473"/>
      <c r="U11" s="473"/>
      <c r="V11" s="477"/>
      <c r="W11" s="80" t="s">
        <v>27</v>
      </c>
      <c r="X11" s="167" t="s">
        <v>272</v>
      </c>
      <c r="Y11" s="167" t="s">
        <v>273</v>
      </c>
      <c r="Z11" s="474"/>
      <c r="AA11" s="80" t="s">
        <v>229</v>
      </c>
      <c r="AB11" s="79" t="s">
        <v>233</v>
      </c>
      <c r="AC11" s="79" t="s">
        <v>261</v>
      </c>
      <c r="AD11" s="79" t="s">
        <v>262</v>
      </c>
      <c r="AE11" s="79" t="s">
        <v>263</v>
      </c>
      <c r="AF11" s="79" t="s">
        <v>264</v>
      </c>
      <c r="AG11" s="79" t="s">
        <v>267</v>
      </c>
      <c r="AH11" s="79" t="s">
        <v>265</v>
      </c>
      <c r="AI11" s="79" t="s">
        <v>266</v>
      </c>
      <c r="AJ11" s="79" t="s">
        <v>234</v>
      </c>
      <c r="AK11" s="79" t="s">
        <v>270</v>
      </c>
      <c r="AL11" s="79" t="s">
        <v>271</v>
      </c>
      <c r="AM11" s="473"/>
      <c r="AN11" s="473"/>
      <c r="AO11" s="471"/>
      <c r="AP11" s="489"/>
      <c r="AQ11" s="247"/>
      <c r="AR11" s="247"/>
    </row>
    <row r="12" spans="1:45" s="30" customFormat="1" ht="24.95" hidden="1" customHeight="1" thickBot="1" x14ac:dyDescent="0.25">
      <c r="A12" s="25"/>
      <c r="B12" s="81" t="s">
        <v>29</v>
      </c>
      <c r="C12" s="82"/>
      <c r="D12" s="82" t="s">
        <v>235</v>
      </c>
      <c r="E12" s="82" t="s">
        <v>30</v>
      </c>
      <c r="F12" s="83">
        <v>4</v>
      </c>
      <c r="G12" s="84">
        <v>5</v>
      </c>
      <c r="H12" s="84">
        <v>6</v>
      </c>
      <c r="I12" s="84">
        <v>7</v>
      </c>
      <c r="J12" s="84"/>
      <c r="K12" s="343"/>
      <c r="L12" s="343"/>
      <c r="M12" s="343"/>
      <c r="N12" s="349"/>
      <c r="O12" s="349"/>
      <c r="P12" s="349"/>
      <c r="Q12" s="84">
        <v>8</v>
      </c>
      <c r="R12" s="84"/>
      <c r="S12" s="84"/>
      <c r="T12" s="147">
        <v>9</v>
      </c>
      <c r="U12" s="147"/>
      <c r="V12" s="85">
        <v>10</v>
      </c>
      <c r="W12" s="85">
        <v>11</v>
      </c>
      <c r="X12" s="168"/>
      <c r="Y12" s="168"/>
      <c r="Z12" s="85">
        <v>12</v>
      </c>
      <c r="AA12" s="85">
        <v>13</v>
      </c>
      <c r="AB12" s="85">
        <v>14</v>
      </c>
      <c r="AC12" s="85"/>
      <c r="AD12" s="85"/>
      <c r="AE12" s="85"/>
      <c r="AF12" s="85"/>
      <c r="AG12" s="85"/>
      <c r="AH12" s="85"/>
      <c r="AI12" s="85"/>
      <c r="AJ12" s="85">
        <v>15</v>
      </c>
      <c r="AK12" s="85"/>
      <c r="AL12" s="85"/>
      <c r="AM12" s="158"/>
      <c r="AN12" s="158"/>
      <c r="AO12" s="85">
        <v>16</v>
      </c>
      <c r="AP12" s="86">
        <v>17</v>
      </c>
      <c r="AQ12" s="329"/>
      <c r="AR12" s="329"/>
    </row>
    <row r="13" spans="1:45" s="30" customFormat="1" ht="24.95" hidden="1" customHeight="1" x14ac:dyDescent="0.2">
      <c r="A13" s="25"/>
      <c r="B13" s="87" t="s">
        <v>31</v>
      </c>
      <c r="C13" s="88"/>
      <c r="D13" s="88"/>
      <c r="E13" s="88"/>
      <c r="F13" s="89" t="s">
        <v>236</v>
      </c>
      <c r="G13" s="90">
        <f>G14</f>
        <v>34469494</v>
      </c>
      <c r="H13" s="90">
        <f t="shared" ref="H13:AR13" si="0">H14</f>
        <v>34369494</v>
      </c>
      <c r="I13" s="90">
        <f t="shared" si="0"/>
        <v>19107641</v>
      </c>
      <c r="J13" s="90">
        <f t="shared" si="0"/>
        <v>4203681.0200000005</v>
      </c>
      <c r="K13" s="90">
        <f t="shared" si="0"/>
        <v>23311322.020000003</v>
      </c>
      <c r="L13" s="90">
        <f t="shared" si="0"/>
        <v>25176227.781600002</v>
      </c>
      <c r="M13" s="90">
        <f t="shared" si="0"/>
        <v>27114797.320783202</v>
      </c>
      <c r="N13" s="350">
        <f t="shared" si="0"/>
        <v>9634418.9800000004</v>
      </c>
      <c r="O13" s="350">
        <f t="shared" si="0"/>
        <v>4775077.3662140006</v>
      </c>
      <c r="P13" s="350">
        <f t="shared" si="0"/>
        <v>3681775.6493509938</v>
      </c>
      <c r="Q13" s="90">
        <f t="shared" si="0"/>
        <v>1423753</v>
      </c>
      <c r="R13" s="90">
        <f t="shared" si="0"/>
        <v>1537653.24</v>
      </c>
      <c r="S13" s="90">
        <f t="shared" si="0"/>
        <v>1631450.08764</v>
      </c>
      <c r="T13" s="148">
        <f t="shared" si="0"/>
        <v>31588958.387814</v>
      </c>
      <c r="U13" s="148">
        <f t="shared" si="0"/>
        <v>32528023.057774201</v>
      </c>
      <c r="V13" s="91">
        <f t="shared" si="0"/>
        <v>2314500</v>
      </c>
      <c r="W13" s="91">
        <f t="shared" si="0"/>
        <v>2200000</v>
      </c>
      <c r="X13" s="91">
        <f t="shared" si="0"/>
        <v>100000</v>
      </c>
      <c r="Y13" s="91">
        <f t="shared" si="0"/>
        <v>100000</v>
      </c>
      <c r="Z13" s="91">
        <f t="shared" si="0"/>
        <v>2100000</v>
      </c>
      <c r="AA13" s="91">
        <f t="shared" si="0"/>
        <v>114500</v>
      </c>
      <c r="AB13" s="91">
        <f t="shared" si="0"/>
        <v>0</v>
      </c>
      <c r="AC13" s="91">
        <f t="shared" si="0"/>
        <v>0</v>
      </c>
      <c r="AD13" s="91">
        <f t="shared" si="0"/>
        <v>0</v>
      </c>
      <c r="AE13" s="91">
        <f t="shared" si="0"/>
        <v>0</v>
      </c>
      <c r="AF13" s="91">
        <f t="shared" si="0"/>
        <v>0</v>
      </c>
      <c r="AG13" s="91">
        <f t="shared" si="0"/>
        <v>2314500</v>
      </c>
      <c r="AH13" s="91">
        <f t="shared" si="0"/>
        <v>218814</v>
      </c>
      <c r="AI13" s="91">
        <f t="shared" si="0"/>
        <v>221984.2212</v>
      </c>
      <c r="AJ13" s="91">
        <f t="shared" si="0"/>
        <v>0</v>
      </c>
      <c r="AK13" s="91">
        <f t="shared" si="0"/>
        <v>0</v>
      </c>
      <c r="AL13" s="91">
        <f t="shared" si="0"/>
        <v>0</v>
      </c>
      <c r="AM13" s="159">
        <f t="shared" si="0"/>
        <v>218814</v>
      </c>
      <c r="AN13" s="159">
        <f t="shared" si="0"/>
        <v>221984.2212</v>
      </c>
      <c r="AO13" s="91">
        <f t="shared" si="0"/>
        <v>2200000</v>
      </c>
      <c r="AP13" s="92">
        <f t="shared" si="0"/>
        <v>36783994</v>
      </c>
      <c r="AQ13" s="334">
        <f t="shared" si="0"/>
        <v>31807772.387814</v>
      </c>
      <c r="AR13" s="334">
        <f t="shared" si="0"/>
        <v>32750007.278974198</v>
      </c>
    </row>
    <row r="14" spans="1:45" s="18" customFormat="1" ht="24.95" hidden="1" customHeight="1" x14ac:dyDescent="0.2">
      <c r="A14" s="36"/>
      <c r="B14" s="93" t="s">
        <v>34</v>
      </c>
      <c r="C14" s="94"/>
      <c r="D14" s="94"/>
      <c r="E14" s="94"/>
      <c r="F14" s="95" t="s">
        <v>237</v>
      </c>
      <c r="G14" s="96">
        <f>G18+G20+G23+G24+G25+G26+G27+G28+G29+G30+G31+G32+G33+G34+G35+G36+G38+G42+G43+G44+G45+G46+G47+G48+G49+G50+G51+G52+G53+G54+G55+G56+G57+G58+G59+G60+G67</f>
        <v>34469494</v>
      </c>
      <c r="H14" s="96">
        <f t="shared" ref="H14:AR14" si="1">H18+H20+H23+H24+H25+H26+H27+H28+H29+H30+H31+H32+H33+H34+H35+H36+H38+H42+H43+H44+H45+H46+H47+H48+H49+H50+H51+H52+H53+H54+H55+H56+H57+H58+H59+H60+H67</f>
        <v>34369494</v>
      </c>
      <c r="I14" s="96">
        <f t="shared" si="1"/>
        <v>19107641</v>
      </c>
      <c r="J14" s="96">
        <f t="shared" si="1"/>
        <v>4203681.0200000005</v>
      </c>
      <c r="K14" s="96">
        <f t="shared" si="1"/>
        <v>23311322.020000003</v>
      </c>
      <c r="L14" s="96">
        <f t="shared" si="1"/>
        <v>25176227.781600002</v>
      </c>
      <c r="M14" s="96">
        <f t="shared" si="1"/>
        <v>27114797.320783202</v>
      </c>
      <c r="N14" s="228">
        <f t="shared" si="1"/>
        <v>9634418.9800000004</v>
      </c>
      <c r="O14" s="228">
        <f t="shared" si="1"/>
        <v>4775077.3662140006</v>
      </c>
      <c r="P14" s="228">
        <f t="shared" si="1"/>
        <v>3681775.6493509938</v>
      </c>
      <c r="Q14" s="96">
        <f t="shared" si="1"/>
        <v>1423753</v>
      </c>
      <c r="R14" s="96">
        <f t="shared" si="1"/>
        <v>1537653.24</v>
      </c>
      <c r="S14" s="96">
        <f t="shared" si="1"/>
        <v>1631450.08764</v>
      </c>
      <c r="T14" s="149">
        <f t="shared" si="1"/>
        <v>31588958.387814</v>
      </c>
      <c r="U14" s="149">
        <f t="shared" si="1"/>
        <v>32528023.057774201</v>
      </c>
      <c r="V14" s="96">
        <f t="shared" si="1"/>
        <v>2314500</v>
      </c>
      <c r="W14" s="96">
        <f t="shared" si="1"/>
        <v>2200000</v>
      </c>
      <c r="X14" s="96">
        <f t="shared" si="1"/>
        <v>100000</v>
      </c>
      <c r="Y14" s="96">
        <f t="shared" si="1"/>
        <v>100000</v>
      </c>
      <c r="Z14" s="96">
        <f t="shared" si="1"/>
        <v>2100000</v>
      </c>
      <c r="AA14" s="96">
        <f t="shared" si="1"/>
        <v>114500</v>
      </c>
      <c r="AB14" s="96">
        <f t="shared" si="1"/>
        <v>0</v>
      </c>
      <c r="AC14" s="96">
        <f t="shared" si="1"/>
        <v>0</v>
      </c>
      <c r="AD14" s="96">
        <f t="shared" si="1"/>
        <v>0</v>
      </c>
      <c r="AE14" s="96">
        <f t="shared" si="1"/>
        <v>0</v>
      </c>
      <c r="AF14" s="96">
        <f t="shared" si="1"/>
        <v>0</v>
      </c>
      <c r="AG14" s="96">
        <f t="shared" si="1"/>
        <v>2314500</v>
      </c>
      <c r="AH14" s="96">
        <f t="shared" si="1"/>
        <v>218814</v>
      </c>
      <c r="AI14" s="96">
        <f t="shared" si="1"/>
        <v>221984.2212</v>
      </c>
      <c r="AJ14" s="96">
        <f t="shared" si="1"/>
        <v>0</v>
      </c>
      <c r="AK14" s="96">
        <f t="shared" si="1"/>
        <v>0</v>
      </c>
      <c r="AL14" s="96">
        <f t="shared" si="1"/>
        <v>0</v>
      </c>
      <c r="AM14" s="149">
        <f t="shared" si="1"/>
        <v>218814</v>
      </c>
      <c r="AN14" s="149">
        <f t="shared" si="1"/>
        <v>221984.2212</v>
      </c>
      <c r="AO14" s="96">
        <f t="shared" si="1"/>
        <v>2200000</v>
      </c>
      <c r="AP14" s="96">
        <f t="shared" si="1"/>
        <v>36783994</v>
      </c>
      <c r="AQ14" s="241">
        <f t="shared" si="1"/>
        <v>31807772.387814</v>
      </c>
      <c r="AR14" s="241">
        <f t="shared" si="1"/>
        <v>32750007.278974198</v>
      </c>
    </row>
    <row r="15" spans="1:45" s="18" customFormat="1" ht="24.95" hidden="1" customHeight="1" x14ac:dyDescent="0.2">
      <c r="A15" s="36"/>
      <c r="B15" s="93"/>
      <c r="C15" s="94"/>
      <c r="D15" s="94"/>
      <c r="E15" s="94"/>
      <c r="F15" s="97" t="s">
        <v>238</v>
      </c>
      <c r="G15" s="98">
        <f>H15+T15</f>
        <v>0</v>
      </c>
      <c r="H15" s="96"/>
      <c r="I15" s="96"/>
      <c r="J15" s="96"/>
      <c r="K15" s="96"/>
      <c r="L15" s="96"/>
      <c r="M15" s="96"/>
      <c r="N15" s="228"/>
      <c r="O15" s="228"/>
      <c r="P15" s="228"/>
      <c r="Q15" s="96"/>
      <c r="R15" s="96"/>
      <c r="S15" s="96"/>
      <c r="T15" s="149"/>
      <c r="U15" s="149"/>
      <c r="V15" s="99">
        <f>AA15+W15</f>
        <v>0</v>
      </c>
      <c r="W15" s="99"/>
      <c r="X15" s="170"/>
      <c r="Y15" s="170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160"/>
      <c r="AN15" s="160"/>
      <c r="AO15" s="99"/>
      <c r="AP15" s="100">
        <f>G15+V15</f>
        <v>0</v>
      </c>
      <c r="AQ15" s="335">
        <f>H15+W15</f>
        <v>0</v>
      </c>
      <c r="AR15" s="335">
        <f>I15+X15</f>
        <v>0</v>
      </c>
    </row>
    <row r="16" spans="1:45" s="18" customFormat="1" ht="24.95" hidden="1" customHeight="1" x14ac:dyDescent="0.2">
      <c r="A16" s="36"/>
      <c r="B16" s="93"/>
      <c r="C16" s="94"/>
      <c r="D16" s="94"/>
      <c r="E16" s="94"/>
      <c r="F16" s="101" t="s">
        <v>239</v>
      </c>
      <c r="G16" s="96">
        <f>H16</f>
        <v>3467500</v>
      </c>
      <c r="H16" s="98">
        <f>H61</f>
        <v>3467500</v>
      </c>
      <c r="I16" s="98">
        <f t="shared" ref="I16:AR16" si="2">I61</f>
        <v>0</v>
      </c>
      <c r="J16" s="98">
        <f t="shared" si="2"/>
        <v>0</v>
      </c>
      <c r="K16" s="98">
        <f t="shared" si="2"/>
        <v>0</v>
      </c>
      <c r="L16" s="98">
        <f t="shared" si="2"/>
        <v>0</v>
      </c>
      <c r="M16" s="98">
        <f t="shared" si="2"/>
        <v>0</v>
      </c>
      <c r="N16" s="229">
        <f t="shared" si="2"/>
        <v>3467500</v>
      </c>
      <c r="O16" s="229">
        <f t="shared" si="2"/>
        <v>0</v>
      </c>
      <c r="P16" s="229">
        <f t="shared" si="2"/>
        <v>0</v>
      </c>
      <c r="Q16" s="98">
        <f t="shared" si="2"/>
        <v>0</v>
      </c>
      <c r="R16" s="98">
        <f t="shared" si="2"/>
        <v>0</v>
      </c>
      <c r="S16" s="98">
        <f t="shared" si="2"/>
        <v>0</v>
      </c>
      <c r="T16" s="98">
        <f t="shared" si="2"/>
        <v>0</v>
      </c>
      <c r="U16" s="98">
        <f t="shared" si="2"/>
        <v>0</v>
      </c>
      <c r="V16" s="98">
        <f t="shared" si="2"/>
        <v>0</v>
      </c>
      <c r="W16" s="98">
        <f t="shared" si="2"/>
        <v>0</v>
      </c>
      <c r="X16" s="98">
        <f t="shared" si="2"/>
        <v>0</v>
      </c>
      <c r="Y16" s="98">
        <f t="shared" si="2"/>
        <v>0</v>
      </c>
      <c r="Z16" s="98">
        <f t="shared" si="2"/>
        <v>0</v>
      </c>
      <c r="AA16" s="98">
        <f t="shared" si="2"/>
        <v>0</v>
      </c>
      <c r="AB16" s="98">
        <f t="shared" si="2"/>
        <v>0</v>
      </c>
      <c r="AC16" s="98">
        <f t="shared" si="2"/>
        <v>0</v>
      </c>
      <c r="AD16" s="98">
        <f t="shared" si="2"/>
        <v>0</v>
      </c>
      <c r="AE16" s="98">
        <f t="shared" si="2"/>
        <v>0</v>
      </c>
      <c r="AF16" s="98">
        <f t="shared" si="2"/>
        <v>0</v>
      </c>
      <c r="AG16" s="98">
        <f t="shared" si="2"/>
        <v>0</v>
      </c>
      <c r="AH16" s="98">
        <f t="shared" si="2"/>
        <v>0</v>
      </c>
      <c r="AI16" s="98">
        <f t="shared" si="2"/>
        <v>0</v>
      </c>
      <c r="AJ16" s="98">
        <f t="shared" si="2"/>
        <v>0</v>
      </c>
      <c r="AK16" s="98">
        <f t="shared" si="2"/>
        <v>0</v>
      </c>
      <c r="AL16" s="98">
        <f t="shared" si="2"/>
        <v>0</v>
      </c>
      <c r="AM16" s="98">
        <f t="shared" si="2"/>
        <v>0</v>
      </c>
      <c r="AN16" s="98">
        <f t="shared" si="2"/>
        <v>0</v>
      </c>
      <c r="AO16" s="98">
        <f t="shared" si="2"/>
        <v>0</v>
      </c>
      <c r="AP16" s="98">
        <f t="shared" si="2"/>
        <v>3467500</v>
      </c>
      <c r="AQ16" s="242">
        <f t="shared" si="2"/>
        <v>0</v>
      </c>
      <c r="AR16" s="242">
        <f t="shared" si="2"/>
        <v>0</v>
      </c>
    </row>
    <row r="17" spans="1:44" s="18" customFormat="1" ht="24.95" hidden="1" customHeight="1" x14ac:dyDescent="0.2">
      <c r="A17" s="36"/>
      <c r="B17" s="93"/>
      <c r="C17" s="94"/>
      <c r="D17" s="94"/>
      <c r="E17" s="94"/>
      <c r="F17" s="101" t="s">
        <v>240</v>
      </c>
      <c r="G17" s="96">
        <f t="shared" ref="G17:G80" si="3">H17</f>
        <v>114174</v>
      </c>
      <c r="H17" s="103">
        <f>H19+H41</f>
        <v>114174</v>
      </c>
      <c r="I17" s="103">
        <f t="shared" ref="I17:AP17" si="4">I19+I41</f>
        <v>72218</v>
      </c>
      <c r="J17" s="103">
        <f t="shared" si="4"/>
        <v>15887.96</v>
      </c>
      <c r="K17" s="103">
        <f t="shared" si="4"/>
        <v>88105.959999999992</v>
      </c>
      <c r="L17" s="103">
        <f t="shared" si="4"/>
        <v>92775.575879999989</v>
      </c>
      <c r="M17" s="103">
        <f t="shared" si="4"/>
        <v>97507.130249879992</v>
      </c>
      <c r="N17" s="230">
        <f t="shared" si="4"/>
        <v>20531.04</v>
      </c>
      <c r="O17" s="230">
        <f t="shared" si="4"/>
        <v>21619.185120000002</v>
      </c>
      <c r="P17" s="230">
        <f t="shared" si="4"/>
        <v>22724.763561119998</v>
      </c>
      <c r="Q17" s="103">
        <f t="shared" si="4"/>
        <v>5537</v>
      </c>
      <c r="R17" s="103">
        <f t="shared" si="4"/>
        <v>5830.4609999999993</v>
      </c>
      <c r="S17" s="103">
        <f t="shared" si="4"/>
        <v>6127.8145109999987</v>
      </c>
      <c r="T17" s="103">
        <f t="shared" si="4"/>
        <v>120225.22199999999</v>
      </c>
      <c r="U17" s="103">
        <f t="shared" si="4"/>
        <v>126359.70832199998</v>
      </c>
      <c r="V17" s="103">
        <f t="shared" si="4"/>
        <v>0</v>
      </c>
      <c r="W17" s="103">
        <f t="shared" si="4"/>
        <v>0</v>
      </c>
      <c r="X17" s="103">
        <f t="shared" si="4"/>
        <v>0</v>
      </c>
      <c r="Y17" s="103">
        <f t="shared" si="4"/>
        <v>0</v>
      </c>
      <c r="Z17" s="103">
        <f t="shared" si="4"/>
        <v>0</v>
      </c>
      <c r="AA17" s="103">
        <f t="shared" si="4"/>
        <v>0</v>
      </c>
      <c r="AB17" s="103">
        <f t="shared" si="4"/>
        <v>0</v>
      </c>
      <c r="AC17" s="103">
        <f t="shared" si="4"/>
        <v>0</v>
      </c>
      <c r="AD17" s="103">
        <f t="shared" si="4"/>
        <v>0</v>
      </c>
      <c r="AE17" s="103">
        <f t="shared" si="4"/>
        <v>0</v>
      </c>
      <c r="AF17" s="103">
        <f t="shared" si="4"/>
        <v>0</v>
      </c>
      <c r="AG17" s="103">
        <f t="shared" si="4"/>
        <v>0</v>
      </c>
      <c r="AH17" s="103">
        <f t="shared" si="4"/>
        <v>0</v>
      </c>
      <c r="AI17" s="103">
        <f t="shared" si="4"/>
        <v>0</v>
      </c>
      <c r="AJ17" s="103">
        <f t="shared" si="4"/>
        <v>0</v>
      </c>
      <c r="AK17" s="103">
        <f t="shared" si="4"/>
        <v>0</v>
      </c>
      <c r="AL17" s="103">
        <f t="shared" si="4"/>
        <v>0</v>
      </c>
      <c r="AM17" s="103">
        <f t="shared" si="4"/>
        <v>0</v>
      </c>
      <c r="AN17" s="103">
        <f t="shared" si="4"/>
        <v>0</v>
      </c>
      <c r="AO17" s="103">
        <f t="shared" si="4"/>
        <v>0</v>
      </c>
      <c r="AP17" s="103">
        <f t="shared" si="4"/>
        <v>114174</v>
      </c>
      <c r="AQ17" s="330">
        <f t="shared" ref="AQ17:AQ80" si="5">T17+AM17</f>
        <v>120225.22199999999</v>
      </c>
      <c r="AR17" s="330">
        <f t="shared" ref="AR17:AR80" si="6">U17+AN17</f>
        <v>126359.70832199998</v>
      </c>
    </row>
    <row r="18" spans="1:44" s="185" customFormat="1" ht="75.75" hidden="1" customHeight="1" x14ac:dyDescent="0.2">
      <c r="A18" s="153"/>
      <c r="B18" s="194" t="s">
        <v>43</v>
      </c>
      <c r="C18" s="193"/>
      <c r="D18" s="193" t="s">
        <v>241</v>
      </c>
      <c r="E18" s="193" t="s">
        <v>45</v>
      </c>
      <c r="F18" s="195" t="s">
        <v>242</v>
      </c>
      <c r="G18" s="149">
        <f t="shared" si="3"/>
        <v>16114433</v>
      </c>
      <c r="H18" s="150">
        <f>15841515+367171-94253</f>
        <v>16114433</v>
      </c>
      <c r="I18" s="150">
        <f>11161150+164000+694890+300960-53447</f>
        <v>12267553</v>
      </c>
      <c r="J18" s="183">
        <f t="shared" ref="J18:J81" si="7">I18*22%</f>
        <v>2698861.66</v>
      </c>
      <c r="K18" s="103">
        <f t="shared" ref="K18:K81" si="8">I18+J18</f>
        <v>14966414.66</v>
      </c>
      <c r="L18" s="103">
        <f t="shared" ref="L18:L81" si="9">K18*1.08</f>
        <v>16163727.832800001</v>
      </c>
      <c r="M18" s="103">
        <f t="shared" ref="M18:M81" si="10">L18*1.077</f>
        <v>17408334.875925601</v>
      </c>
      <c r="N18" s="229">
        <f t="shared" ref="N18:N58" si="11">H18-K18-Q18</f>
        <v>818455.33999999985</v>
      </c>
      <c r="O18" s="229">
        <f>N18*77.43%</f>
        <v>633729.96976200002</v>
      </c>
      <c r="P18" s="229">
        <f>O18*77.1%</f>
        <v>488605.80668650195</v>
      </c>
      <c r="Q18" s="150">
        <f>8000+180000+150000-8437</f>
        <v>329563</v>
      </c>
      <c r="R18" s="150">
        <f t="shared" ref="R18:R80" si="12">Q18*1.08</f>
        <v>355928.04000000004</v>
      </c>
      <c r="S18" s="150">
        <f t="shared" ref="S18:S80" si="13">R18*1.061</f>
        <v>377639.65044</v>
      </c>
      <c r="T18" s="150">
        <f t="shared" ref="T18:T58" si="14">L18+O18+R18</f>
        <v>17153385.842562001</v>
      </c>
      <c r="U18" s="150">
        <f t="shared" ref="U18:U58" si="15">M18+P18+S18</f>
        <v>18274580.333052102</v>
      </c>
      <c r="V18" s="160">
        <f>AA18+W18</f>
        <v>0</v>
      </c>
      <c r="W18" s="122">
        <v>0</v>
      </c>
      <c r="X18" s="171">
        <f t="shared" ref="X18:Y43" si="16">W18</f>
        <v>0</v>
      </c>
      <c r="Y18" s="171">
        <f t="shared" si="16"/>
        <v>0</v>
      </c>
      <c r="Z18" s="122"/>
      <c r="AA18" s="122"/>
      <c r="AB18" s="122"/>
      <c r="AC18" s="150">
        <f t="shared" ref="AC18:AC80" si="17">AB18*22%</f>
        <v>0</v>
      </c>
      <c r="AD18" s="150">
        <f t="shared" ref="AD18:AD80" si="18">AB18+AC18</f>
        <v>0</v>
      </c>
      <c r="AE18" s="150">
        <f t="shared" ref="AE18:AE80" si="19">AD18*1.08</f>
        <v>0</v>
      </c>
      <c r="AF18" s="150">
        <f t="shared" ref="AF18:AF80" si="20">AE18*1.077</f>
        <v>0</v>
      </c>
      <c r="AG18" s="150">
        <f t="shared" ref="AG18:AG80" si="21">V18-AD18-AJ18</f>
        <v>0</v>
      </c>
      <c r="AH18" s="98">
        <f t="shared" ref="AH18:AI22" si="22">AG18</f>
        <v>0</v>
      </c>
      <c r="AI18" s="98">
        <f t="shared" si="22"/>
        <v>0</v>
      </c>
      <c r="AJ18" s="122"/>
      <c r="AK18" s="150">
        <f>AJ18*1.08</f>
        <v>0</v>
      </c>
      <c r="AL18" s="150">
        <f t="shared" ref="AL18:AL80" si="23">AK18*1.061</f>
        <v>0</v>
      </c>
      <c r="AM18" s="150">
        <f t="shared" ref="AM18:AN80" si="24">AE18+AH18+AK18</f>
        <v>0</v>
      </c>
      <c r="AN18" s="150">
        <f t="shared" si="24"/>
        <v>0</v>
      </c>
      <c r="AO18" s="122">
        <v>0</v>
      </c>
      <c r="AP18" s="184">
        <f t="shared" ref="AP18:AP49" si="25">G18+V18</f>
        <v>16114433</v>
      </c>
      <c r="AQ18" s="330">
        <f t="shared" si="5"/>
        <v>17153385.842562001</v>
      </c>
      <c r="AR18" s="330">
        <f t="shared" si="6"/>
        <v>18274580.333052102</v>
      </c>
    </row>
    <row r="19" spans="1:44" s="18" customFormat="1" ht="42" hidden="1" customHeight="1" x14ac:dyDescent="0.2">
      <c r="A19" s="36"/>
      <c r="B19" s="93"/>
      <c r="C19" s="104"/>
      <c r="D19" s="104"/>
      <c r="E19" s="104"/>
      <c r="F19" s="97" t="s">
        <v>92</v>
      </c>
      <c r="G19" s="96">
        <f t="shared" si="3"/>
        <v>61874</v>
      </c>
      <c r="H19" s="103">
        <f>156127-94253</f>
        <v>61874</v>
      </c>
      <c r="I19" s="98">
        <v>35085</v>
      </c>
      <c r="J19" s="103">
        <f t="shared" si="7"/>
        <v>7718.7</v>
      </c>
      <c r="K19" s="103">
        <f t="shared" si="8"/>
        <v>42803.7</v>
      </c>
      <c r="L19" s="103">
        <f>K19*1.053</f>
        <v>45072.296099999992</v>
      </c>
      <c r="M19" s="103">
        <f>L19*1.051</f>
        <v>47370.983201099989</v>
      </c>
      <c r="N19" s="229">
        <f t="shared" si="11"/>
        <v>13533.300000000003</v>
      </c>
      <c r="O19" s="229">
        <f>N19*1.053</f>
        <v>14250.564900000003</v>
      </c>
      <c r="P19" s="229">
        <f>O19*1.051</f>
        <v>14977.343709900002</v>
      </c>
      <c r="Q19" s="98">
        <v>5537</v>
      </c>
      <c r="R19" s="98">
        <f>Q19*1.053</f>
        <v>5830.4609999999993</v>
      </c>
      <c r="S19" s="98">
        <f>R19*1.051</f>
        <v>6127.8145109999987</v>
      </c>
      <c r="T19" s="150">
        <f t="shared" si="14"/>
        <v>65153.322</v>
      </c>
      <c r="U19" s="150">
        <f t="shared" si="15"/>
        <v>68476.141421999986</v>
      </c>
      <c r="V19" s="99">
        <f>Q19-5537</f>
        <v>0</v>
      </c>
      <c r="W19" s="105"/>
      <c r="X19" s="171">
        <f t="shared" si="16"/>
        <v>0</v>
      </c>
      <c r="Y19" s="171">
        <f t="shared" si="16"/>
        <v>0</v>
      </c>
      <c r="Z19" s="105"/>
      <c r="AA19" s="105"/>
      <c r="AB19" s="105"/>
      <c r="AC19" s="98">
        <f t="shared" si="17"/>
        <v>0</v>
      </c>
      <c r="AD19" s="98">
        <f t="shared" si="18"/>
        <v>0</v>
      </c>
      <c r="AE19" s="98">
        <f t="shared" si="19"/>
        <v>0</v>
      </c>
      <c r="AF19" s="98">
        <f t="shared" si="20"/>
        <v>0</v>
      </c>
      <c r="AG19" s="98">
        <f t="shared" si="21"/>
        <v>0</v>
      </c>
      <c r="AH19" s="98">
        <f t="shared" si="22"/>
        <v>0</v>
      </c>
      <c r="AI19" s="98">
        <f t="shared" si="22"/>
        <v>0</v>
      </c>
      <c r="AJ19" s="105"/>
      <c r="AK19" s="98">
        <f t="shared" ref="AK19:AK80" si="26">AJ19*1.08</f>
        <v>0</v>
      </c>
      <c r="AL19" s="98">
        <f t="shared" si="23"/>
        <v>0</v>
      </c>
      <c r="AM19" s="150">
        <f t="shared" si="24"/>
        <v>0</v>
      </c>
      <c r="AN19" s="150">
        <f t="shared" si="24"/>
        <v>0</v>
      </c>
      <c r="AO19" s="105"/>
      <c r="AP19" s="102">
        <f t="shared" si="25"/>
        <v>61874</v>
      </c>
      <c r="AQ19" s="330">
        <f t="shared" si="5"/>
        <v>65153.322</v>
      </c>
      <c r="AR19" s="330">
        <f t="shared" si="6"/>
        <v>68476.141421999986</v>
      </c>
    </row>
    <row r="20" spans="1:44" s="185" customFormat="1" ht="24.95" hidden="1" customHeight="1" x14ac:dyDescent="0.2">
      <c r="A20" s="153"/>
      <c r="B20" s="194" t="s">
        <v>49</v>
      </c>
      <c r="C20" s="193"/>
      <c r="D20" s="193" t="s">
        <v>154</v>
      </c>
      <c r="E20" s="193" t="s">
        <v>51</v>
      </c>
      <c r="F20" s="195" t="s">
        <v>243</v>
      </c>
      <c r="G20" s="149">
        <f t="shared" si="3"/>
        <v>249421</v>
      </c>
      <c r="H20" s="150">
        <v>249421</v>
      </c>
      <c r="I20" s="150"/>
      <c r="J20" s="183">
        <f t="shared" si="7"/>
        <v>0</v>
      </c>
      <c r="K20" s="103">
        <f t="shared" si="8"/>
        <v>0</v>
      </c>
      <c r="L20" s="103">
        <f t="shared" si="9"/>
        <v>0</v>
      </c>
      <c r="M20" s="103">
        <f t="shared" si="10"/>
        <v>0</v>
      </c>
      <c r="N20" s="229">
        <f t="shared" si="11"/>
        <v>249421</v>
      </c>
      <c r="O20" s="229">
        <f t="shared" ref="O20:O38" si="27">N20*77.43%</f>
        <v>193126.68030000004</v>
      </c>
      <c r="P20" s="229">
        <f t="shared" ref="P20:P38" si="28">O20*77.1%</f>
        <v>148900.67051130001</v>
      </c>
      <c r="Q20" s="150"/>
      <c r="R20" s="150">
        <f t="shared" si="12"/>
        <v>0</v>
      </c>
      <c r="S20" s="150">
        <f t="shared" si="13"/>
        <v>0</v>
      </c>
      <c r="T20" s="150">
        <f t="shared" si="14"/>
        <v>193126.68030000004</v>
      </c>
      <c r="U20" s="150">
        <f t="shared" si="15"/>
        <v>148900.67051130001</v>
      </c>
      <c r="V20" s="160">
        <f t="shared" ref="V20:V84" si="29">AA20+W20</f>
        <v>0</v>
      </c>
      <c r="W20" s="122"/>
      <c r="X20" s="171">
        <f t="shared" si="16"/>
        <v>0</v>
      </c>
      <c r="Y20" s="171">
        <f t="shared" si="16"/>
        <v>0</v>
      </c>
      <c r="Z20" s="122"/>
      <c r="AA20" s="122"/>
      <c r="AB20" s="122"/>
      <c r="AC20" s="150">
        <f t="shared" si="17"/>
        <v>0</v>
      </c>
      <c r="AD20" s="150">
        <f t="shared" si="18"/>
        <v>0</v>
      </c>
      <c r="AE20" s="150">
        <f t="shared" si="19"/>
        <v>0</v>
      </c>
      <c r="AF20" s="150">
        <f t="shared" si="20"/>
        <v>0</v>
      </c>
      <c r="AG20" s="150">
        <f t="shared" si="21"/>
        <v>0</v>
      </c>
      <c r="AH20" s="98">
        <f t="shared" si="22"/>
        <v>0</v>
      </c>
      <c r="AI20" s="98">
        <f t="shared" si="22"/>
        <v>0</v>
      </c>
      <c r="AJ20" s="122"/>
      <c r="AK20" s="150">
        <f t="shared" si="26"/>
        <v>0</v>
      </c>
      <c r="AL20" s="150">
        <f t="shared" si="23"/>
        <v>0</v>
      </c>
      <c r="AM20" s="150">
        <f t="shared" si="24"/>
        <v>0</v>
      </c>
      <c r="AN20" s="150">
        <f t="shared" si="24"/>
        <v>0</v>
      </c>
      <c r="AO20" s="122"/>
      <c r="AP20" s="184">
        <f t="shared" si="25"/>
        <v>249421</v>
      </c>
      <c r="AQ20" s="330">
        <f t="shared" si="5"/>
        <v>193126.68030000004</v>
      </c>
      <c r="AR20" s="330">
        <f t="shared" si="6"/>
        <v>148900.67051130001</v>
      </c>
    </row>
    <row r="21" spans="1:44" s="18" customFormat="1" ht="24.95" hidden="1" customHeight="1" x14ac:dyDescent="0.2">
      <c r="A21" s="36"/>
      <c r="B21" s="93"/>
      <c r="C21" s="104"/>
      <c r="D21" s="104"/>
      <c r="E21" s="104"/>
      <c r="F21" s="97"/>
      <c r="G21" s="96">
        <f t="shared" si="3"/>
        <v>0</v>
      </c>
      <c r="H21" s="103"/>
      <c r="I21" s="98"/>
      <c r="J21" s="103">
        <f t="shared" si="7"/>
        <v>0</v>
      </c>
      <c r="K21" s="103">
        <f t="shared" si="8"/>
        <v>0</v>
      </c>
      <c r="L21" s="103">
        <f t="shared" si="9"/>
        <v>0</v>
      </c>
      <c r="M21" s="103">
        <f t="shared" si="10"/>
        <v>0</v>
      </c>
      <c r="N21" s="229">
        <f t="shared" si="11"/>
        <v>0</v>
      </c>
      <c r="O21" s="229">
        <f t="shared" si="27"/>
        <v>0</v>
      </c>
      <c r="P21" s="229">
        <f t="shared" si="28"/>
        <v>0</v>
      </c>
      <c r="Q21" s="98"/>
      <c r="R21" s="98">
        <f t="shared" si="12"/>
        <v>0</v>
      </c>
      <c r="S21" s="98">
        <f t="shared" si="13"/>
        <v>0</v>
      </c>
      <c r="T21" s="150">
        <f t="shared" si="14"/>
        <v>0</v>
      </c>
      <c r="U21" s="150">
        <f t="shared" si="15"/>
        <v>0</v>
      </c>
      <c r="V21" s="99">
        <f t="shared" si="29"/>
        <v>0</v>
      </c>
      <c r="W21" s="105"/>
      <c r="X21" s="171">
        <f t="shared" si="16"/>
        <v>0</v>
      </c>
      <c r="Y21" s="171">
        <f t="shared" si="16"/>
        <v>0</v>
      </c>
      <c r="Z21" s="105"/>
      <c r="AA21" s="105"/>
      <c r="AB21" s="105"/>
      <c r="AC21" s="98">
        <f t="shared" si="17"/>
        <v>0</v>
      </c>
      <c r="AD21" s="98">
        <f t="shared" si="18"/>
        <v>0</v>
      </c>
      <c r="AE21" s="98">
        <f t="shared" si="19"/>
        <v>0</v>
      </c>
      <c r="AF21" s="98">
        <f t="shared" si="20"/>
        <v>0</v>
      </c>
      <c r="AG21" s="98">
        <f t="shared" si="21"/>
        <v>0</v>
      </c>
      <c r="AH21" s="98">
        <f t="shared" si="22"/>
        <v>0</v>
      </c>
      <c r="AI21" s="98">
        <f t="shared" si="22"/>
        <v>0</v>
      </c>
      <c r="AJ21" s="105"/>
      <c r="AK21" s="98">
        <f t="shared" si="26"/>
        <v>0</v>
      </c>
      <c r="AL21" s="98">
        <f t="shared" si="23"/>
        <v>0</v>
      </c>
      <c r="AM21" s="150">
        <f t="shared" si="24"/>
        <v>0</v>
      </c>
      <c r="AN21" s="150">
        <f t="shared" si="24"/>
        <v>0</v>
      </c>
      <c r="AO21" s="105"/>
      <c r="AP21" s="102">
        <f t="shared" si="25"/>
        <v>0</v>
      </c>
      <c r="AQ21" s="330">
        <f t="shared" si="5"/>
        <v>0</v>
      </c>
      <c r="AR21" s="330">
        <f t="shared" si="6"/>
        <v>0</v>
      </c>
    </row>
    <row r="22" spans="1:44" s="18" customFormat="1" ht="24.95" hidden="1" customHeight="1" x14ac:dyDescent="0.2">
      <c r="A22" s="36"/>
      <c r="B22" s="93" t="s">
        <v>53</v>
      </c>
      <c r="C22" s="104"/>
      <c r="D22" s="104" t="s">
        <v>54</v>
      </c>
      <c r="E22" s="104" t="s">
        <v>54</v>
      </c>
      <c r="F22" s="106" t="s">
        <v>55</v>
      </c>
      <c r="G22" s="96">
        <f t="shared" si="3"/>
        <v>0</v>
      </c>
      <c r="H22" s="103"/>
      <c r="I22" s="98"/>
      <c r="J22" s="103">
        <f t="shared" si="7"/>
        <v>0</v>
      </c>
      <c r="K22" s="103">
        <f t="shared" si="8"/>
        <v>0</v>
      </c>
      <c r="L22" s="103">
        <f t="shared" si="9"/>
        <v>0</v>
      </c>
      <c r="M22" s="103">
        <f t="shared" si="10"/>
        <v>0</v>
      </c>
      <c r="N22" s="229">
        <f t="shared" si="11"/>
        <v>0</v>
      </c>
      <c r="O22" s="229">
        <f t="shared" si="27"/>
        <v>0</v>
      </c>
      <c r="P22" s="229">
        <f t="shared" si="28"/>
        <v>0</v>
      </c>
      <c r="Q22" s="98"/>
      <c r="R22" s="98">
        <f t="shared" si="12"/>
        <v>0</v>
      </c>
      <c r="S22" s="98">
        <f t="shared" si="13"/>
        <v>0</v>
      </c>
      <c r="T22" s="150">
        <f t="shared" si="14"/>
        <v>0</v>
      </c>
      <c r="U22" s="150">
        <f t="shared" si="15"/>
        <v>0</v>
      </c>
      <c r="V22" s="99">
        <f t="shared" si="29"/>
        <v>0</v>
      </c>
      <c r="W22" s="105"/>
      <c r="X22" s="171">
        <f t="shared" si="16"/>
        <v>0</v>
      </c>
      <c r="Y22" s="171">
        <f t="shared" si="16"/>
        <v>0</v>
      </c>
      <c r="Z22" s="105"/>
      <c r="AA22" s="105"/>
      <c r="AB22" s="105"/>
      <c r="AC22" s="98">
        <f t="shared" si="17"/>
        <v>0</v>
      </c>
      <c r="AD22" s="98">
        <f t="shared" si="18"/>
        <v>0</v>
      </c>
      <c r="AE22" s="98">
        <f t="shared" si="19"/>
        <v>0</v>
      </c>
      <c r="AF22" s="98">
        <f t="shared" si="20"/>
        <v>0</v>
      </c>
      <c r="AG22" s="98">
        <f t="shared" si="21"/>
        <v>0</v>
      </c>
      <c r="AH22" s="98">
        <f t="shared" si="22"/>
        <v>0</v>
      </c>
      <c r="AI22" s="98">
        <f t="shared" si="22"/>
        <v>0</v>
      </c>
      <c r="AJ22" s="105"/>
      <c r="AK22" s="98">
        <f t="shared" si="26"/>
        <v>0</v>
      </c>
      <c r="AL22" s="98">
        <f t="shared" si="23"/>
        <v>0</v>
      </c>
      <c r="AM22" s="150">
        <f t="shared" si="24"/>
        <v>0</v>
      </c>
      <c r="AN22" s="150">
        <f t="shared" si="24"/>
        <v>0</v>
      </c>
      <c r="AO22" s="105"/>
      <c r="AP22" s="102">
        <f t="shared" si="25"/>
        <v>0</v>
      </c>
      <c r="AQ22" s="330">
        <f t="shared" si="5"/>
        <v>0</v>
      </c>
      <c r="AR22" s="330">
        <f t="shared" si="6"/>
        <v>0</v>
      </c>
    </row>
    <row r="23" spans="1:44" s="204" customFormat="1" ht="24.95" hidden="1" customHeight="1" x14ac:dyDescent="0.2">
      <c r="A23" s="196"/>
      <c r="B23" s="197" t="s">
        <v>56</v>
      </c>
      <c r="C23" s="198"/>
      <c r="D23" s="199" t="s">
        <v>244</v>
      </c>
      <c r="E23" s="199" t="s">
        <v>58</v>
      </c>
      <c r="F23" s="200" t="s">
        <v>245</v>
      </c>
      <c r="G23" s="169">
        <f t="shared" si="3"/>
        <v>4542250</v>
      </c>
      <c r="H23" s="201">
        <v>4542250</v>
      </c>
      <c r="I23" s="201">
        <v>3599730</v>
      </c>
      <c r="J23" s="201">
        <f t="shared" si="7"/>
        <v>791940.6</v>
      </c>
      <c r="K23" s="103">
        <f t="shared" si="8"/>
        <v>4391670.5999999996</v>
      </c>
      <c r="L23" s="103">
        <f t="shared" si="9"/>
        <v>4743004.2479999997</v>
      </c>
      <c r="M23" s="103">
        <f t="shared" si="10"/>
        <v>5108215.5750959991</v>
      </c>
      <c r="N23" s="229">
        <f t="shared" si="11"/>
        <v>76399.400000000373</v>
      </c>
      <c r="O23" s="229">
        <f t="shared" si="27"/>
        <v>59156.055420000295</v>
      </c>
      <c r="P23" s="229">
        <f t="shared" si="28"/>
        <v>45609.318728820224</v>
      </c>
      <c r="Q23" s="201">
        <f>18000+50000+6180</f>
        <v>74180</v>
      </c>
      <c r="R23" s="171">
        <f t="shared" si="12"/>
        <v>80114.400000000009</v>
      </c>
      <c r="S23" s="171">
        <f t="shared" si="13"/>
        <v>85001.378400000001</v>
      </c>
      <c r="T23" s="171">
        <f t="shared" si="14"/>
        <v>4882274.7034200002</v>
      </c>
      <c r="U23" s="171">
        <f t="shared" si="15"/>
        <v>5238826.2722248193</v>
      </c>
      <c r="V23" s="202">
        <f t="shared" si="29"/>
        <v>60000</v>
      </c>
      <c r="W23" s="202">
        <f>W24</f>
        <v>0</v>
      </c>
      <c r="X23" s="171">
        <f t="shared" si="16"/>
        <v>0</v>
      </c>
      <c r="Y23" s="171">
        <f t="shared" si="16"/>
        <v>0</v>
      </c>
      <c r="Z23" s="202"/>
      <c r="AA23" s="201">
        <v>60000</v>
      </c>
      <c r="AB23" s="202"/>
      <c r="AC23" s="171">
        <f t="shared" si="17"/>
        <v>0</v>
      </c>
      <c r="AD23" s="171">
        <f t="shared" si="18"/>
        <v>0</v>
      </c>
      <c r="AE23" s="171">
        <f t="shared" si="19"/>
        <v>0</v>
      </c>
      <c r="AF23" s="171">
        <f t="shared" si="20"/>
        <v>0</v>
      </c>
      <c r="AG23" s="171">
        <f t="shared" si="21"/>
        <v>60000</v>
      </c>
      <c r="AH23" s="98">
        <f>AG23*1.0569</f>
        <v>63414</v>
      </c>
      <c r="AI23" s="98">
        <f>AH23*1.0358</f>
        <v>65684.2212</v>
      </c>
      <c r="AJ23" s="202"/>
      <c r="AK23" s="171">
        <f t="shared" si="26"/>
        <v>0</v>
      </c>
      <c r="AL23" s="171">
        <f t="shared" si="23"/>
        <v>0</v>
      </c>
      <c r="AM23" s="171">
        <f t="shared" si="24"/>
        <v>63414</v>
      </c>
      <c r="AN23" s="171">
        <f t="shared" si="24"/>
        <v>65684.2212</v>
      </c>
      <c r="AO23" s="202"/>
      <c r="AP23" s="203">
        <f t="shared" si="25"/>
        <v>4602250</v>
      </c>
      <c r="AQ23" s="330">
        <f t="shared" si="5"/>
        <v>4945688.7034200002</v>
      </c>
      <c r="AR23" s="330">
        <f t="shared" si="6"/>
        <v>5304510.4934248189</v>
      </c>
    </row>
    <row r="24" spans="1:44" s="204" customFormat="1" ht="24.95" hidden="1" customHeight="1" x14ac:dyDescent="0.2">
      <c r="A24" s="196"/>
      <c r="B24" s="197" t="s">
        <v>60</v>
      </c>
      <c r="C24" s="199"/>
      <c r="D24" s="199" t="s">
        <v>61</v>
      </c>
      <c r="E24" s="199" t="s">
        <v>62</v>
      </c>
      <c r="F24" s="200" t="s">
        <v>63</v>
      </c>
      <c r="G24" s="169">
        <f t="shared" si="3"/>
        <v>22840</v>
      </c>
      <c r="H24" s="201">
        <f>12840+10000</f>
        <v>22840</v>
      </c>
      <c r="I24" s="171"/>
      <c r="J24" s="201">
        <f t="shared" si="7"/>
        <v>0</v>
      </c>
      <c r="K24" s="103">
        <f t="shared" si="8"/>
        <v>0</v>
      </c>
      <c r="L24" s="103">
        <f t="shared" si="9"/>
        <v>0</v>
      </c>
      <c r="M24" s="103">
        <f t="shared" si="10"/>
        <v>0</v>
      </c>
      <c r="N24" s="229">
        <f t="shared" si="11"/>
        <v>22840</v>
      </c>
      <c r="O24" s="229">
        <f t="shared" si="27"/>
        <v>17685.012000000002</v>
      </c>
      <c r="P24" s="229">
        <f t="shared" si="28"/>
        <v>13635.144252</v>
      </c>
      <c r="Q24" s="171"/>
      <c r="R24" s="171">
        <f t="shared" si="12"/>
        <v>0</v>
      </c>
      <c r="S24" s="171">
        <f t="shared" si="13"/>
        <v>0</v>
      </c>
      <c r="T24" s="171">
        <f t="shared" si="14"/>
        <v>17685.012000000002</v>
      </c>
      <c r="U24" s="171">
        <f t="shared" si="15"/>
        <v>13635.144252</v>
      </c>
      <c r="V24" s="170">
        <f t="shared" si="29"/>
        <v>0</v>
      </c>
      <c r="W24" s="177"/>
      <c r="X24" s="171">
        <f t="shared" si="16"/>
        <v>0</v>
      </c>
      <c r="Y24" s="171">
        <f t="shared" si="16"/>
        <v>0</v>
      </c>
      <c r="Z24" s="177"/>
      <c r="AA24" s="177"/>
      <c r="AB24" s="177"/>
      <c r="AC24" s="171">
        <f t="shared" si="17"/>
        <v>0</v>
      </c>
      <c r="AD24" s="171">
        <f t="shared" si="18"/>
        <v>0</v>
      </c>
      <c r="AE24" s="171">
        <f t="shared" si="19"/>
        <v>0</v>
      </c>
      <c r="AF24" s="171">
        <f t="shared" si="20"/>
        <v>0</v>
      </c>
      <c r="AG24" s="171">
        <f t="shared" si="21"/>
        <v>0</v>
      </c>
      <c r="AH24" s="98">
        <f t="shared" ref="AH24:AI43" si="30">AG24</f>
        <v>0</v>
      </c>
      <c r="AI24" s="98">
        <f t="shared" si="30"/>
        <v>0</v>
      </c>
      <c r="AJ24" s="177"/>
      <c r="AK24" s="171">
        <f t="shared" si="26"/>
        <v>0</v>
      </c>
      <c r="AL24" s="171">
        <f t="shared" si="23"/>
        <v>0</v>
      </c>
      <c r="AM24" s="171">
        <f t="shared" si="24"/>
        <v>0</v>
      </c>
      <c r="AN24" s="171">
        <f t="shared" si="24"/>
        <v>0</v>
      </c>
      <c r="AO24" s="177"/>
      <c r="AP24" s="203">
        <f t="shared" si="25"/>
        <v>22840</v>
      </c>
      <c r="AQ24" s="330">
        <f t="shared" si="5"/>
        <v>17685.012000000002</v>
      </c>
      <c r="AR24" s="330">
        <f t="shared" si="6"/>
        <v>13635.144252</v>
      </c>
    </row>
    <row r="25" spans="1:44" s="204" customFormat="1" ht="24.95" hidden="1" customHeight="1" x14ac:dyDescent="0.2">
      <c r="A25" s="196"/>
      <c r="B25" s="197"/>
      <c r="C25" s="198"/>
      <c r="D25" s="199"/>
      <c r="E25" s="199"/>
      <c r="F25" s="205"/>
      <c r="G25" s="169">
        <f t="shared" si="3"/>
        <v>0</v>
      </c>
      <c r="H25" s="202"/>
      <c r="I25" s="202"/>
      <c r="J25" s="201">
        <f t="shared" si="7"/>
        <v>0</v>
      </c>
      <c r="K25" s="103">
        <f t="shared" si="8"/>
        <v>0</v>
      </c>
      <c r="L25" s="103">
        <f t="shared" si="9"/>
        <v>0</v>
      </c>
      <c r="M25" s="103">
        <f t="shared" si="10"/>
        <v>0</v>
      </c>
      <c r="N25" s="229">
        <f t="shared" si="11"/>
        <v>0</v>
      </c>
      <c r="O25" s="229">
        <f t="shared" si="27"/>
        <v>0</v>
      </c>
      <c r="P25" s="229">
        <f t="shared" si="28"/>
        <v>0</v>
      </c>
      <c r="Q25" s="202"/>
      <c r="R25" s="171">
        <f t="shared" si="12"/>
        <v>0</v>
      </c>
      <c r="S25" s="171">
        <f t="shared" si="13"/>
        <v>0</v>
      </c>
      <c r="T25" s="171">
        <f t="shared" si="14"/>
        <v>0</v>
      </c>
      <c r="U25" s="171">
        <f t="shared" si="15"/>
        <v>0</v>
      </c>
      <c r="V25" s="170">
        <f t="shared" si="29"/>
        <v>0</v>
      </c>
      <c r="W25" s="170"/>
      <c r="X25" s="171">
        <f t="shared" si="16"/>
        <v>0</v>
      </c>
      <c r="Y25" s="171">
        <f t="shared" si="16"/>
        <v>0</v>
      </c>
      <c r="Z25" s="170"/>
      <c r="AA25" s="170"/>
      <c r="AB25" s="170"/>
      <c r="AC25" s="171">
        <f t="shared" si="17"/>
        <v>0</v>
      </c>
      <c r="AD25" s="171">
        <f t="shared" si="18"/>
        <v>0</v>
      </c>
      <c r="AE25" s="171">
        <f t="shared" si="19"/>
        <v>0</v>
      </c>
      <c r="AF25" s="171">
        <f t="shared" si="20"/>
        <v>0</v>
      </c>
      <c r="AG25" s="171">
        <f t="shared" si="21"/>
        <v>0</v>
      </c>
      <c r="AH25" s="98">
        <f t="shared" si="30"/>
        <v>0</v>
      </c>
      <c r="AI25" s="98">
        <f t="shared" si="30"/>
        <v>0</v>
      </c>
      <c r="AJ25" s="170"/>
      <c r="AK25" s="171">
        <f t="shared" si="26"/>
        <v>0</v>
      </c>
      <c r="AL25" s="171">
        <f t="shared" si="23"/>
        <v>0</v>
      </c>
      <c r="AM25" s="171">
        <f t="shared" si="24"/>
        <v>0</v>
      </c>
      <c r="AN25" s="171">
        <f t="shared" si="24"/>
        <v>0</v>
      </c>
      <c r="AO25" s="170"/>
      <c r="AP25" s="203">
        <f t="shared" si="25"/>
        <v>0</v>
      </c>
      <c r="AQ25" s="330">
        <f t="shared" si="5"/>
        <v>0</v>
      </c>
      <c r="AR25" s="330">
        <f t="shared" si="6"/>
        <v>0</v>
      </c>
    </row>
    <row r="26" spans="1:44" s="204" customFormat="1" ht="24.95" hidden="1" customHeight="1" x14ac:dyDescent="0.2">
      <c r="A26" s="196"/>
      <c r="B26" s="197" t="s">
        <v>64</v>
      </c>
      <c r="C26" s="199"/>
      <c r="D26" s="199" t="s">
        <v>65</v>
      </c>
      <c r="E26" s="199" t="s">
        <v>62</v>
      </c>
      <c r="F26" s="200" t="s">
        <v>66</v>
      </c>
      <c r="G26" s="169">
        <f t="shared" si="3"/>
        <v>622412</v>
      </c>
      <c r="H26" s="201">
        <v>622412</v>
      </c>
      <c r="I26" s="171">
        <v>440855</v>
      </c>
      <c r="J26" s="201">
        <f t="shared" si="7"/>
        <v>96988.1</v>
      </c>
      <c r="K26" s="103">
        <f t="shared" si="8"/>
        <v>537843.1</v>
      </c>
      <c r="L26" s="103">
        <f t="shared" si="9"/>
        <v>580870.54800000007</v>
      </c>
      <c r="M26" s="103">
        <f t="shared" si="10"/>
        <v>625597.58019600005</v>
      </c>
      <c r="N26" s="229">
        <f t="shared" si="11"/>
        <v>70358.900000000023</v>
      </c>
      <c r="O26" s="229">
        <f t="shared" si="27"/>
        <v>54478.896270000027</v>
      </c>
      <c r="P26" s="229">
        <f t="shared" si="28"/>
        <v>42003.229024170018</v>
      </c>
      <c r="Q26" s="171">
        <f>325+800+13085</f>
        <v>14210</v>
      </c>
      <c r="R26" s="171">
        <f t="shared" si="12"/>
        <v>15346.800000000001</v>
      </c>
      <c r="S26" s="171">
        <f t="shared" si="13"/>
        <v>16282.9548</v>
      </c>
      <c r="T26" s="171">
        <f t="shared" si="14"/>
        <v>650696.24427000014</v>
      </c>
      <c r="U26" s="171">
        <f t="shared" si="15"/>
        <v>683883.76402016997</v>
      </c>
      <c r="V26" s="170">
        <f t="shared" si="29"/>
        <v>0</v>
      </c>
      <c r="W26" s="177"/>
      <c r="X26" s="171">
        <f t="shared" si="16"/>
        <v>0</v>
      </c>
      <c r="Y26" s="171">
        <f t="shared" si="16"/>
        <v>0</v>
      </c>
      <c r="Z26" s="177"/>
      <c r="AA26" s="177"/>
      <c r="AB26" s="177"/>
      <c r="AC26" s="171">
        <f t="shared" si="17"/>
        <v>0</v>
      </c>
      <c r="AD26" s="171">
        <f t="shared" si="18"/>
        <v>0</v>
      </c>
      <c r="AE26" s="171">
        <f t="shared" si="19"/>
        <v>0</v>
      </c>
      <c r="AF26" s="171">
        <f t="shared" si="20"/>
        <v>0</v>
      </c>
      <c r="AG26" s="171">
        <f t="shared" si="21"/>
        <v>0</v>
      </c>
      <c r="AH26" s="98">
        <f t="shared" si="30"/>
        <v>0</v>
      </c>
      <c r="AI26" s="98">
        <f t="shared" si="30"/>
        <v>0</v>
      </c>
      <c r="AJ26" s="177"/>
      <c r="AK26" s="171">
        <f t="shared" si="26"/>
        <v>0</v>
      </c>
      <c r="AL26" s="171">
        <f t="shared" si="23"/>
        <v>0</v>
      </c>
      <c r="AM26" s="171">
        <f t="shared" si="24"/>
        <v>0</v>
      </c>
      <c r="AN26" s="171">
        <f t="shared" si="24"/>
        <v>0</v>
      </c>
      <c r="AO26" s="177"/>
      <c r="AP26" s="203">
        <f t="shared" si="25"/>
        <v>622412</v>
      </c>
      <c r="AQ26" s="330">
        <f t="shared" si="5"/>
        <v>650696.24427000014</v>
      </c>
      <c r="AR26" s="330">
        <f t="shared" si="6"/>
        <v>683883.76402016997</v>
      </c>
    </row>
    <row r="27" spans="1:44" s="204" customFormat="1" ht="24.95" hidden="1" customHeight="1" x14ac:dyDescent="0.2">
      <c r="A27" s="196"/>
      <c r="B27" s="197" t="s">
        <v>67</v>
      </c>
      <c r="C27" s="199"/>
      <c r="D27" s="199" t="s">
        <v>68</v>
      </c>
      <c r="E27" s="199" t="s">
        <v>62</v>
      </c>
      <c r="F27" s="200" t="s">
        <v>69</v>
      </c>
      <c r="G27" s="169">
        <f t="shared" si="3"/>
        <v>20000</v>
      </c>
      <c r="H27" s="201">
        <v>20000</v>
      </c>
      <c r="I27" s="171"/>
      <c r="J27" s="201">
        <f t="shared" si="7"/>
        <v>0</v>
      </c>
      <c r="K27" s="103">
        <f t="shared" si="8"/>
        <v>0</v>
      </c>
      <c r="L27" s="103">
        <f t="shared" si="9"/>
        <v>0</v>
      </c>
      <c r="M27" s="103">
        <f t="shared" si="10"/>
        <v>0</v>
      </c>
      <c r="N27" s="229">
        <f t="shared" si="11"/>
        <v>20000</v>
      </c>
      <c r="O27" s="229">
        <f t="shared" si="27"/>
        <v>15486.000000000002</v>
      </c>
      <c r="P27" s="229">
        <f t="shared" si="28"/>
        <v>11939.706</v>
      </c>
      <c r="Q27" s="171"/>
      <c r="R27" s="171">
        <f t="shared" si="12"/>
        <v>0</v>
      </c>
      <c r="S27" s="171">
        <f t="shared" si="13"/>
        <v>0</v>
      </c>
      <c r="T27" s="171">
        <f t="shared" si="14"/>
        <v>15486.000000000002</v>
      </c>
      <c r="U27" s="171">
        <f t="shared" si="15"/>
        <v>11939.706</v>
      </c>
      <c r="V27" s="170"/>
      <c r="W27" s="177"/>
      <c r="X27" s="171">
        <f t="shared" si="16"/>
        <v>0</v>
      </c>
      <c r="Y27" s="171">
        <f t="shared" si="16"/>
        <v>0</v>
      </c>
      <c r="Z27" s="177"/>
      <c r="AA27" s="177"/>
      <c r="AB27" s="177"/>
      <c r="AC27" s="171">
        <f t="shared" si="17"/>
        <v>0</v>
      </c>
      <c r="AD27" s="171">
        <f t="shared" si="18"/>
        <v>0</v>
      </c>
      <c r="AE27" s="171">
        <f t="shared" si="19"/>
        <v>0</v>
      </c>
      <c r="AF27" s="171">
        <f t="shared" si="20"/>
        <v>0</v>
      </c>
      <c r="AG27" s="171">
        <f t="shared" si="21"/>
        <v>0</v>
      </c>
      <c r="AH27" s="98">
        <f t="shared" si="30"/>
        <v>0</v>
      </c>
      <c r="AI27" s="98">
        <f t="shared" si="30"/>
        <v>0</v>
      </c>
      <c r="AJ27" s="177"/>
      <c r="AK27" s="171">
        <f t="shared" si="26"/>
        <v>0</v>
      </c>
      <c r="AL27" s="171">
        <f t="shared" si="23"/>
        <v>0</v>
      </c>
      <c r="AM27" s="171">
        <f t="shared" si="24"/>
        <v>0</v>
      </c>
      <c r="AN27" s="171">
        <f t="shared" si="24"/>
        <v>0</v>
      </c>
      <c r="AO27" s="177"/>
      <c r="AP27" s="203">
        <f t="shared" si="25"/>
        <v>20000</v>
      </c>
      <c r="AQ27" s="330">
        <f t="shared" si="5"/>
        <v>15486.000000000002</v>
      </c>
      <c r="AR27" s="330">
        <f t="shared" si="6"/>
        <v>11939.706</v>
      </c>
    </row>
    <row r="28" spans="1:44" s="204" customFormat="1" ht="24.95" hidden="1" customHeight="1" x14ac:dyDescent="0.2">
      <c r="A28" s="196"/>
      <c r="B28" s="197" t="s">
        <v>70</v>
      </c>
      <c r="C28" s="199"/>
      <c r="D28" s="199" t="s">
        <v>71</v>
      </c>
      <c r="E28" s="199" t="s">
        <v>62</v>
      </c>
      <c r="F28" s="200" t="s">
        <v>72</v>
      </c>
      <c r="G28" s="169">
        <f t="shared" si="3"/>
        <v>195000</v>
      </c>
      <c r="H28" s="201">
        <v>195000</v>
      </c>
      <c r="I28" s="171"/>
      <c r="J28" s="201">
        <f t="shared" si="7"/>
        <v>0</v>
      </c>
      <c r="K28" s="103">
        <f t="shared" si="8"/>
        <v>0</v>
      </c>
      <c r="L28" s="103">
        <f t="shared" si="9"/>
        <v>0</v>
      </c>
      <c r="M28" s="103">
        <f t="shared" si="10"/>
        <v>0</v>
      </c>
      <c r="N28" s="229">
        <f t="shared" si="11"/>
        <v>195000</v>
      </c>
      <c r="O28" s="229">
        <f t="shared" si="27"/>
        <v>150988.50000000003</v>
      </c>
      <c r="P28" s="229">
        <f t="shared" si="28"/>
        <v>116412.13350000001</v>
      </c>
      <c r="Q28" s="171"/>
      <c r="R28" s="171">
        <f t="shared" si="12"/>
        <v>0</v>
      </c>
      <c r="S28" s="171">
        <f t="shared" si="13"/>
        <v>0</v>
      </c>
      <c r="T28" s="171">
        <f t="shared" si="14"/>
        <v>150988.50000000003</v>
      </c>
      <c r="U28" s="171">
        <f t="shared" si="15"/>
        <v>116412.13350000001</v>
      </c>
      <c r="V28" s="170">
        <f t="shared" si="29"/>
        <v>0</v>
      </c>
      <c r="W28" s="177"/>
      <c r="X28" s="171">
        <f t="shared" si="16"/>
        <v>0</v>
      </c>
      <c r="Y28" s="171">
        <f t="shared" si="16"/>
        <v>0</v>
      </c>
      <c r="Z28" s="177"/>
      <c r="AA28" s="177"/>
      <c r="AB28" s="177"/>
      <c r="AC28" s="171">
        <f t="shared" si="17"/>
        <v>0</v>
      </c>
      <c r="AD28" s="171">
        <f t="shared" si="18"/>
        <v>0</v>
      </c>
      <c r="AE28" s="171">
        <f t="shared" si="19"/>
        <v>0</v>
      </c>
      <c r="AF28" s="171">
        <f t="shared" si="20"/>
        <v>0</v>
      </c>
      <c r="AG28" s="171">
        <f t="shared" si="21"/>
        <v>0</v>
      </c>
      <c r="AH28" s="98">
        <f t="shared" si="30"/>
        <v>0</v>
      </c>
      <c r="AI28" s="98">
        <f t="shared" si="30"/>
        <v>0</v>
      </c>
      <c r="AJ28" s="177"/>
      <c r="AK28" s="171">
        <f t="shared" si="26"/>
        <v>0</v>
      </c>
      <c r="AL28" s="171">
        <f t="shared" si="23"/>
        <v>0</v>
      </c>
      <c r="AM28" s="171">
        <f t="shared" si="24"/>
        <v>0</v>
      </c>
      <c r="AN28" s="171">
        <f t="shared" si="24"/>
        <v>0</v>
      </c>
      <c r="AO28" s="177"/>
      <c r="AP28" s="203">
        <f t="shared" si="25"/>
        <v>195000</v>
      </c>
      <c r="AQ28" s="330">
        <f t="shared" si="5"/>
        <v>150988.50000000003</v>
      </c>
      <c r="AR28" s="330">
        <f t="shared" si="6"/>
        <v>116412.13350000001</v>
      </c>
    </row>
    <row r="29" spans="1:44" s="204" customFormat="1" ht="24.95" hidden="1" customHeight="1" x14ac:dyDescent="0.2">
      <c r="A29" s="196"/>
      <c r="B29" s="206"/>
      <c r="C29" s="198"/>
      <c r="D29" s="198"/>
      <c r="E29" s="207"/>
      <c r="F29" s="205"/>
      <c r="G29" s="169">
        <f t="shared" si="3"/>
        <v>0</v>
      </c>
      <c r="H29" s="169"/>
      <c r="I29" s="171"/>
      <c r="J29" s="201">
        <f t="shared" si="7"/>
        <v>0</v>
      </c>
      <c r="K29" s="103">
        <f t="shared" si="8"/>
        <v>0</v>
      </c>
      <c r="L29" s="103">
        <f t="shared" si="9"/>
        <v>0</v>
      </c>
      <c r="M29" s="103">
        <f t="shared" si="10"/>
        <v>0</v>
      </c>
      <c r="N29" s="229">
        <f t="shared" si="11"/>
        <v>0</v>
      </c>
      <c r="O29" s="229">
        <f t="shared" si="27"/>
        <v>0</v>
      </c>
      <c r="P29" s="229">
        <f t="shared" si="28"/>
        <v>0</v>
      </c>
      <c r="Q29" s="171"/>
      <c r="R29" s="171">
        <f t="shared" si="12"/>
        <v>0</v>
      </c>
      <c r="S29" s="171">
        <f t="shared" si="13"/>
        <v>0</v>
      </c>
      <c r="T29" s="171">
        <f t="shared" si="14"/>
        <v>0</v>
      </c>
      <c r="U29" s="171">
        <f t="shared" si="15"/>
        <v>0</v>
      </c>
      <c r="V29" s="170">
        <f t="shared" si="29"/>
        <v>0</v>
      </c>
      <c r="W29" s="177"/>
      <c r="X29" s="171">
        <f t="shared" si="16"/>
        <v>0</v>
      </c>
      <c r="Y29" s="171">
        <f t="shared" si="16"/>
        <v>0</v>
      </c>
      <c r="Z29" s="177"/>
      <c r="AA29" s="177"/>
      <c r="AB29" s="177"/>
      <c r="AC29" s="171">
        <f t="shared" si="17"/>
        <v>0</v>
      </c>
      <c r="AD29" s="171">
        <f t="shared" si="18"/>
        <v>0</v>
      </c>
      <c r="AE29" s="171">
        <f t="shared" si="19"/>
        <v>0</v>
      </c>
      <c r="AF29" s="171">
        <f t="shared" si="20"/>
        <v>0</v>
      </c>
      <c r="AG29" s="171">
        <f t="shared" si="21"/>
        <v>0</v>
      </c>
      <c r="AH29" s="98">
        <f t="shared" si="30"/>
        <v>0</v>
      </c>
      <c r="AI29" s="98">
        <f t="shared" si="30"/>
        <v>0</v>
      </c>
      <c r="AJ29" s="177"/>
      <c r="AK29" s="171">
        <f t="shared" si="26"/>
        <v>0</v>
      </c>
      <c r="AL29" s="171">
        <f t="shared" si="23"/>
        <v>0</v>
      </c>
      <c r="AM29" s="171">
        <f t="shared" si="24"/>
        <v>0</v>
      </c>
      <c r="AN29" s="171">
        <f t="shared" si="24"/>
        <v>0</v>
      </c>
      <c r="AO29" s="177"/>
      <c r="AP29" s="203">
        <f t="shared" si="25"/>
        <v>0</v>
      </c>
      <c r="AQ29" s="330">
        <f t="shared" si="5"/>
        <v>0</v>
      </c>
      <c r="AR29" s="330">
        <f t="shared" si="6"/>
        <v>0</v>
      </c>
    </row>
    <row r="30" spans="1:44" s="204" customFormat="1" ht="24.95" hidden="1" customHeight="1" x14ac:dyDescent="0.2">
      <c r="A30" s="196"/>
      <c r="B30" s="208" t="s">
        <v>73</v>
      </c>
      <c r="C30" s="199"/>
      <c r="D30" s="199" t="s">
        <v>74</v>
      </c>
      <c r="E30" s="199" t="s">
        <v>75</v>
      </c>
      <c r="F30" s="200" t="s">
        <v>76</v>
      </c>
      <c r="G30" s="169">
        <f t="shared" si="3"/>
        <v>40540</v>
      </c>
      <c r="H30" s="171">
        <v>40540</v>
      </c>
      <c r="I30" s="171"/>
      <c r="J30" s="201">
        <f t="shared" si="7"/>
        <v>0</v>
      </c>
      <c r="K30" s="103">
        <f t="shared" si="8"/>
        <v>0</v>
      </c>
      <c r="L30" s="103">
        <f t="shared" si="9"/>
        <v>0</v>
      </c>
      <c r="M30" s="103">
        <f t="shared" si="10"/>
        <v>0</v>
      </c>
      <c r="N30" s="229">
        <f t="shared" si="11"/>
        <v>40540</v>
      </c>
      <c r="O30" s="229">
        <f t="shared" si="27"/>
        <v>31390.122000000003</v>
      </c>
      <c r="P30" s="229">
        <f t="shared" si="28"/>
        <v>24201.784061999999</v>
      </c>
      <c r="Q30" s="171"/>
      <c r="R30" s="171">
        <f t="shared" si="12"/>
        <v>0</v>
      </c>
      <c r="S30" s="171">
        <f t="shared" si="13"/>
        <v>0</v>
      </c>
      <c r="T30" s="171">
        <f t="shared" si="14"/>
        <v>31390.122000000003</v>
      </c>
      <c r="U30" s="171">
        <f t="shared" si="15"/>
        <v>24201.784061999999</v>
      </c>
      <c r="V30" s="170">
        <f t="shared" si="29"/>
        <v>0</v>
      </c>
      <c r="W30" s="177"/>
      <c r="X30" s="171">
        <f t="shared" si="16"/>
        <v>0</v>
      </c>
      <c r="Y30" s="171">
        <f t="shared" si="16"/>
        <v>0</v>
      </c>
      <c r="Z30" s="177"/>
      <c r="AA30" s="177"/>
      <c r="AB30" s="177"/>
      <c r="AC30" s="171">
        <f t="shared" si="17"/>
        <v>0</v>
      </c>
      <c r="AD30" s="171">
        <f t="shared" si="18"/>
        <v>0</v>
      </c>
      <c r="AE30" s="171">
        <f t="shared" si="19"/>
        <v>0</v>
      </c>
      <c r="AF30" s="171">
        <f t="shared" si="20"/>
        <v>0</v>
      </c>
      <c r="AG30" s="171">
        <f t="shared" si="21"/>
        <v>0</v>
      </c>
      <c r="AH30" s="98">
        <f t="shared" si="30"/>
        <v>0</v>
      </c>
      <c r="AI30" s="98">
        <f t="shared" si="30"/>
        <v>0</v>
      </c>
      <c r="AJ30" s="177"/>
      <c r="AK30" s="171">
        <f t="shared" si="26"/>
        <v>0</v>
      </c>
      <c r="AL30" s="171">
        <f t="shared" si="23"/>
        <v>0</v>
      </c>
      <c r="AM30" s="171">
        <f t="shared" si="24"/>
        <v>0</v>
      </c>
      <c r="AN30" s="171">
        <f t="shared" si="24"/>
        <v>0</v>
      </c>
      <c r="AO30" s="177"/>
      <c r="AP30" s="203">
        <f t="shared" si="25"/>
        <v>40540</v>
      </c>
      <c r="AQ30" s="330">
        <f t="shared" si="5"/>
        <v>31390.122000000003</v>
      </c>
      <c r="AR30" s="330">
        <f t="shared" si="6"/>
        <v>24201.784061999999</v>
      </c>
    </row>
    <row r="31" spans="1:44" s="204" customFormat="1" ht="24.95" hidden="1" customHeight="1" x14ac:dyDescent="0.2">
      <c r="A31" s="196"/>
      <c r="B31" s="208" t="s">
        <v>77</v>
      </c>
      <c r="C31" s="199"/>
      <c r="D31" s="199" t="s">
        <v>78</v>
      </c>
      <c r="E31" s="199" t="s">
        <v>79</v>
      </c>
      <c r="F31" s="200" t="s">
        <v>80</v>
      </c>
      <c r="G31" s="169">
        <f t="shared" si="3"/>
        <v>300000</v>
      </c>
      <c r="H31" s="171">
        <v>300000</v>
      </c>
      <c r="I31" s="171">
        <v>237705</v>
      </c>
      <c r="J31" s="201">
        <f t="shared" si="7"/>
        <v>52295.1</v>
      </c>
      <c r="K31" s="103">
        <f t="shared" si="8"/>
        <v>290000.09999999998</v>
      </c>
      <c r="L31" s="103">
        <f t="shared" si="9"/>
        <v>313200.10800000001</v>
      </c>
      <c r="M31" s="103">
        <f t="shared" si="10"/>
        <v>337316.51631600002</v>
      </c>
      <c r="N31" s="229">
        <f t="shared" si="11"/>
        <v>9999.9000000000233</v>
      </c>
      <c r="O31" s="229">
        <f t="shared" si="27"/>
        <v>7742.9225700000188</v>
      </c>
      <c r="P31" s="229">
        <f t="shared" si="28"/>
        <v>5969.7933014700138</v>
      </c>
      <c r="Q31" s="171"/>
      <c r="R31" s="171">
        <f t="shared" si="12"/>
        <v>0</v>
      </c>
      <c r="S31" s="171">
        <f t="shared" si="13"/>
        <v>0</v>
      </c>
      <c r="T31" s="171">
        <f t="shared" si="14"/>
        <v>320943.03057</v>
      </c>
      <c r="U31" s="171">
        <f t="shared" si="15"/>
        <v>343286.30961747002</v>
      </c>
      <c r="V31" s="170">
        <f t="shared" si="29"/>
        <v>0</v>
      </c>
      <c r="W31" s="177"/>
      <c r="X31" s="171">
        <f t="shared" si="16"/>
        <v>0</v>
      </c>
      <c r="Y31" s="171">
        <f t="shared" si="16"/>
        <v>0</v>
      </c>
      <c r="Z31" s="177"/>
      <c r="AA31" s="177"/>
      <c r="AB31" s="177"/>
      <c r="AC31" s="171">
        <f t="shared" si="17"/>
        <v>0</v>
      </c>
      <c r="AD31" s="171">
        <f t="shared" si="18"/>
        <v>0</v>
      </c>
      <c r="AE31" s="171">
        <f t="shared" si="19"/>
        <v>0</v>
      </c>
      <c r="AF31" s="171">
        <f t="shared" si="20"/>
        <v>0</v>
      </c>
      <c r="AG31" s="171">
        <f t="shared" si="21"/>
        <v>0</v>
      </c>
      <c r="AH31" s="98">
        <f t="shared" si="30"/>
        <v>0</v>
      </c>
      <c r="AI31" s="98">
        <f t="shared" si="30"/>
        <v>0</v>
      </c>
      <c r="AJ31" s="177"/>
      <c r="AK31" s="171">
        <f t="shared" si="26"/>
        <v>0</v>
      </c>
      <c r="AL31" s="171">
        <f t="shared" si="23"/>
        <v>0</v>
      </c>
      <c r="AM31" s="171">
        <f t="shared" si="24"/>
        <v>0</v>
      </c>
      <c r="AN31" s="171">
        <f t="shared" si="24"/>
        <v>0</v>
      </c>
      <c r="AO31" s="177"/>
      <c r="AP31" s="203">
        <f t="shared" si="25"/>
        <v>300000</v>
      </c>
      <c r="AQ31" s="330">
        <f t="shared" si="5"/>
        <v>320943.03057</v>
      </c>
      <c r="AR31" s="330">
        <f t="shared" si="6"/>
        <v>343286.30961747002</v>
      </c>
    </row>
    <row r="32" spans="1:44" s="204" customFormat="1" ht="24.95" hidden="1" customHeight="1" x14ac:dyDescent="0.2">
      <c r="A32" s="196"/>
      <c r="B32" s="208" t="s">
        <v>81</v>
      </c>
      <c r="C32" s="199"/>
      <c r="D32" s="199" t="s">
        <v>82</v>
      </c>
      <c r="E32" s="199" t="s">
        <v>83</v>
      </c>
      <c r="F32" s="200" t="s">
        <v>84</v>
      </c>
      <c r="G32" s="169">
        <f t="shared" si="3"/>
        <v>0</v>
      </c>
      <c r="H32" s="169"/>
      <c r="I32" s="171"/>
      <c r="J32" s="201">
        <f t="shared" si="7"/>
        <v>0</v>
      </c>
      <c r="K32" s="103">
        <f t="shared" si="8"/>
        <v>0</v>
      </c>
      <c r="L32" s="103">
        <f t="shared" si="9"/>
        <v>0</v>
      </c>
      <c r="M32" s="103">
        <f t="shared" si="10"/>
        <v>0</v>
      </c>
      <c r="N32" s="229">
        <f t="shared" si="11"/>
        <v>0</v>
      </c>
      <c r="O32" s="229">
        <f t="shared" si="27"/>
        <v>0</v>
      </c>
      <c r="P32" s="229">
        <f t="shared" si="28"/>
        <v>0</v>
      </c>
      <c r="Q32" s="171"/>
      <c r="R32" s="171">
        <f t="shared" si="12"/>
        <v>0</v>
      </c>
      <c r="S32" s="171">
        <f t="shared" si="13"/>
        <v>0</v>
      </c>
      <c r="T32" s="171">
        <f t="shared" si="14"/>
        <v>0</v>
      </c>
      <c r="U32" s="171">
        <f t="shared" si="15"/>
        <v>0</v>
      </c>
      <c r="V32" s="170">
        <f t="shared" si="29"/>
        <v>0</v>
      </c>
      <c r="W32" s="177"/>
      <c r="X32" s="171">
        <f t="shared" si="16"/>
        <v>0</v>
      </c>
      <c r="Y32" s="171">
        <f t="shared" si="16"/>
        <v>0</v>
      </c>
      <c r="Z32" s="177"/>
      <c r="AA32" s="177"/>
      <c r="AB32" s="177"/>
      <c r="AC32" s="171">
        <f t="shared" si="17"/>
        <v>0</v>
      </c>
      <c r="AD32" s="171">
        <f t="shared" si="18"/>
        <v>0</v>
      </c>
      <c r="AE32" s="171">
        <f t="shared" si="19"/>
        <v>0</v>
      </c>
      <c r="AF32" s="171">
        <f t="shared" si="20"/>
        <v>0</v>
      </c>
      <c r="AG32" s="171">
        <f t="shared" si="21"/>
        <v>0</v>
      </c>
      <c r="AH32" s="98">
        <f t="shared" si="30"/>
        <v>0</v>
      </c>
      <c r="AI32" s="98">
        <f t="shared" si="30"/>
        <v>0</v>
      </c>
      <c r="AJ32" s="177"/>
      <c r="AK32" s="171">
        <f t="shared" si="26"/>
        <v>0</v>
      </c>
      <c r="AL32" s="171">
        <f t="shared" si="23"/>
        <v>0</v>
      </c>
      <c r="AM32" s="171">
        <f t="shared" si="24"/>
        <v>0</v>
      </c>
      <c r="AN32" s="171">
        <f t="shared" si="24"/>
        <v>0</v>
      </c>
      <c r="AO32" s="177"/>
      <c r="AP32" s="203">
        <f t="shared" si="25"/>
        <v>0</v>
      </c>
      <c r="AQ32" s="330">
        <f t="shared" si="5"/>
        <v>0</v>
      </c>
      <c r="AR32" s="330">
        <f t="shared" si="6"/>
        <v>0</v>
      </c>
    </row>
    <row r="33" spans="1:44" s="204" customFormat="1" ht="24.95" hidden="1" customHeight="1" x14ac:dyDescent="0.2">
      <c r="A33" s="196"/>
      <c r="B33" s="208" t="s">
        <v>85</v>
      </c>
      <c r="C33" s="199"/>
      <c r="D33" s="199" t="s">
        <v>86</v>
      </c>
      <c r="E33" s="199" t="s">
        <v>83</v>
      </c>
      <c r="F33" s="200" t="s">
        <v>87</v>
      </c>
      <c r="G33" s="169">
        <f t="shared" si="3"/>
        <v>517600</v>
      </c>
      <c r="H33" s="171">
        <v>517600</v>
      </c>
      <c r="I33" s="171"/>
      <c r="J33" s="201">
        <f t="shared" si="7"/>
        <v>0</v>
      </c>
      <c r="K33" s="103">
        <f t="shared" si="8"/>
        <v>0</v>
      </c>
      <c r="L33" s="103">
        <f t="shared" si="9"/>
        <v>0</v>
      </c>
      <c r="M33" s="103">
        <f t="shared" si="10"/>
        <v>0</v>
      </c>
      <c r="N33" s="229">
        <f t="shared" si="11"/>
        <v>517600</v>
      </c>
      <c r="O33" s="229">
        <f t="shared" si="27"/>
        <v>400777.68000000005</v>
      </c>
      <c r="P33" s="229">
        <f t="shared" si="28"/>
        <v>308999.59127999999</v>
      </c>
      <c r="Q33" s="171"/>
      <c r="R33" s="171">
        <f t="shared" si="12"/>
        <v>0</v>
      </c>
      <c r="S33" s="171">
        <f t="shared" si="13"/>
        <v>0</v>
      </c>
      <c r="T33" s="171">
        <f t="shared" si="14"/>
        <v>400777.68000000005</v>
      </c>
      <c r="U33" s="171">
        <f t="shared" si="15"/>
        <v>308999.59127999999</v>
      </c>
      <c r="V33" s="170">
        <f t="shared" si="29"/>
        <v>0</v>
      </c>
      <c r="W33" s="177"/>
      <c r="X33" s="171">
        <f t="shared" si="16"/>
        <v>0</v>
      </c>
      <c r="Y33" s="171">
        <f t="shared" si="16"/>
        <v>0</v>
      </c>
      <c r="Z33" s="177"/>
      <c r="AA33" s="177"/>
      <c r="AB33" s="177"/>
      <c r="AC33" s="171">
        <f t="shared" si="17"/>
        <v>0</v>
      </c>
      <c r="AD33" s="171">
        <f t="shared" si="18"/>
        <v>0</v>
      </c>
      <c r="AE33" s="171">
        <f t="shared" si="19"/>
        <v>0</v>
      </c>
      <c r="AF33" s="171">
        <f t="shared" si="20"/>
        <v>0</v>
      </c>
      <c r="AG33" s="171">
        <f t="shared" si="21"/>
        <v>0</v>
      </c>
      <c r="AH33" s="98">
        <f t="shared" si="30"/>
        <v>0</v>
      </c>
      <c r="AI33" s="98">
        <f t="shared" si="30"/>
        <v>0</v>
      </c>
      <c r="AJ33" s="177"/>
      <c r="AK33" s="171">
        <f t="shared" si="26"/>
        <v>0</v>
      </c>
      <c r="AL33" s="171">
        <f t="shared" si="23"/>
        <v>0</v>
      </c>
      <c r="AM33" s="171">
        <f t="shared" si="24"/>
        <v>0</v>
      </c>
      <c r="AN33" s="171">
        <f t="shared" si="24"/>
        <v>0</v>
      </c>
      <c r="AO33" s="177"/>
      <c r="AP33" s="203">
        <f t="shared" si="25"/>
        <v>517600</v>
      </c>
      <c r="AQ33" s="330">
        <f t="shared" si="5"/>
        <v>400777.68000000005</v>
      </c>
      <c r="AR33" s="330">
        <f t="shared" si="6"/>
        <v>308999.59127999999</v>
      </c>
    </row>
    <row r="34" spans="1:44" s="18" customFormat="1" ht="24.95" hidden="1" customHeight="1" x14ac:dyDescent="0.2">
      <c r="A34" s="36"/>
      <c r="B34" s="110"/>
      <c r="C34" s="94"/>
      <c r="D34" s="94"/>
      <c r="E34" s="94"/>
      <c r="F34" s="109"/>
      <c r="G34" s="96">
        <f t="shared" si="3"/>
        <v>0</v>
      </c>
      <c r="H34" s="96"/>
      <c r="I34" s="98"/>
      <c r="J34" s="103">
        <f t="shared" si="7"/>
        <v>0</v>
      </c>
      <c r="K34" s="103">
        <f t="shared" si="8"/>
        <v>0</v>
      </c>
      <c r="L34" s="103">
        <f t="shared" si="9"/>
        <v>0</v>
      </c>
      <c r="M34" s="103">
        <f t="shared" si="10"/>
        <v>0</v>
      </c>
      <c r="N34" s="229">
        <f t="shared" si="11"/>
        <v>0</v>
      </c>
      <c r="O34" s="229">
        <f t="shared" si="27"/>
        <v>0</v>
      </c>
      <c r="P34" s="229">
        <f t="shared" si="28"/>
        <v>0</v>
      </c>
      <c r="Q34" s="98"/>
      <c r="R34" s="98">
        <f t="shared" si="12"/>
        <v>0</v>
      </c>
      <c r="S34" s="98">
        <f t="shared" si="13"/>
        <v>0</v>
      </c>
      <c r="T34" s="150">
        <f t="shared" si="14"/>
        <v>0</v>
      </c>
      <c r="U34" s="150">
        <f t="shared" si="15"/>
        <v>0</v>
      </c>
      <c r="V34" s="99">
        <f t="shared" si="29"/>
        <v>0</v>
      </c>
      <c r="W34" s="105"/>
      <c r="X34" s="171">
        <f t="shared" si="16"/>
        <v>0</v>
      </c>
      <c r="Y34" s="171">
        <f t="shared" si="16"/>
        <v>0</v>
      </c>
      <c r="Z34" s="105"/>
      <c r="AA34" s="105"/>
      <c r="AB34" s="105"/>
      <c r="AC34" s="98">
        <f t="shared" si="17"/>
        <v>0</v>
      </c>
      <c r="AD34" s="98">
        <f t="shared" si="18"/>
        <v>0</v>
      </c>
      <c r="AE34" s="98">
        <f t="shared" si="19"/>
        <v>0</v>
      </c>
      <c r="AF34" s="98">
        <f t="shared" si="20"/>
        <v>0</v>
      </c>
      <c r="AG34" s="98">
        <f t="shared" si="21"/>
        <v>0</v>
      </c>
      <c r="AH34" s="98">
        <f t="shared" si="30"/>
        <v>0</v>
      </c>
      <c r="AI34" s="98">
        <f t="shared" si="30"/>
        <v>0</v>
      </c>
      <c r="AJ34" s="105"/>
      <c r="AK34" s="98">
        <f t="shared" si="26"/>
        <v>0</v>
      </c>
      <c r="AL34" s="98">
        <f t="shared" si="23"/>
        <v>0</v>
      </c>
      <c r="AM34" s="150">
        <f t="shared" si="24"/>
        <v>0</v>
      </c>
      <c r="AN34" s="150">
        <f t="shared" si="24"/>
        <v>0</v>
      </c>
      <c r="AO34" s="105"/>
      <c r="AP34" s="102">
        <f t="shared" si="25"/>
        <v>0</v>
      </c>
      <c r="AQ34" s="330">
        <f t="shared" si="5"/>
        <v>0</v>
      </c>
      <c r="AR34" s="330">
        <f t="shared" si="6"/>
        <v>0</v>
      </c>
    </row>
    <row r="35" spans="1:44" s="220" customFormat="1" ht="24.95" hidden="1" customHeight="1" x14ac:dyDescent="0.2">
      <c r="A35" s="210"/>
      <c r="B35" s="211" t="s">
        <v>88</v>
      </c>
      <c r="C35" s="212"/>
      <c r="D35" s="212" t="s">
        <v>89</v>
      </c>
      <c r="E35" s="212" t="s">
        <v>90</v>
      </c>
      <c r="F35" s="213" t="s">
        <v>91</v>
      </c>
      <c r="G35" s="214">
        <f t="shared" si="3"/>
        <v>400000</v>
      </c>
      <c r="H35" s="215">
        <v>400000</v>
      </c>
      <c r="I35" s="215"/>
      <c r="J35" s="216">
        <f t="shared" si="7"/>
        <v>0</v>
      </c>
      <c r="K35" s="103">
        <f t="shared" si="8"/>
        <v>0</v>
      </c>
      <c r="L35" s="103">
        <f t="shared" si="9"/>
        <v>0</v>
      </c>
      <c r="M35" s="103">
        <f t="shared" si="10"/>
        <v>0</v>
      </c>
      <c r="N35" s="229">
        <f t="shared" si="11"/>
        <v>400000</v>
      </c>
      <c r="O35" s="229">
        <f t="shared" si="27"/>
        <v>309720.00000000006</v>
      </c>
      <c r="P35" s="229">
        <f t="shared" si="28"/>
        <v>238794.12000000002</v>
      </c>
      <c r="Q35" s="215"/>
      <c r="R35" s="215">
        <f t="shared" si="12"/>
        <v>0</v>
      </c>
      <c r="S35" s="215">
        <f t="shared" si="13"/>
        <v>0</v>
      </c>
      <c r="T35" s="215">
        <f t="shared" si="14"/>
        <v>309720.00000000006</v>
      </c>
      <c r="U35" s="215">
        <f t="shared" si="15"/>
        <v>238794.12000000002</v>
      </c>
      <c r="V35" s="217">
        <f t="shared" si="29"/>
        <v>0</v>
      </c>
      <c r="W35" s="218"/>
      <c r="X35" s="171">
        <f t="shared" si="16"/>
        <v>0</v>
      </c>
      <c r="Y35" s="171">
        <f t="shared" si="16"/>
        <v>0</v>
      </c>
      <c r="Z35" s="218"/>
      <c r="AA35" s="218"/>
      <c r="AB35" s="218"/>
      <c r="AC35" s="215">
        <f t="shared" si="17"/>
        <v>0</v>
      </c>
      <c r="AD35" s="215">
        <f t="shared" si="18"/>
        <v>0</v>
      </c>
      <c r="AE35" s="215">
        <f t="shared" si="19"/>
        <v>0</v>
      </c>
      <c r="AF35" s="215">
        <f t="shared" si="20"/>
        <v>0</v>
      </c>
      <c r="AG35" s="215">
        <f t="shared" si="21"/>
        <v>0</v>
      </c>
      <c r="AH35" s="98">
        <f t="shared" si="30"/>
        <v>0</v>
      </c>
      <c r="AI35" s="98">
        <f t="shared" si="30"/>
        <v>0</v>
      </c>
      <c r="AJ35" s="218"/>
      <c r="AK35" s="215">
        <f t="shared" si="26"/>
        <v>0</v>
      </c>
      <c r="AL35" s="215">
        <f t="shared" si="23"/>
        <v>0</v>
      </c>
      <c r="AM35" s="215">
        <f t="shared" si="24"/>
        <v>0</v>
      </c>
      <c r="AN35" s="215">
        <f t="shared" si="24"/>
        <v>0</v>
      </c>
      <c r="AO35" s="218"/>
      <c r="AP35" s="219">
        <f t="shared" si="25"/>
        <v>400000</v>
      </c>
      <c r="AQ35" s="330">
        <f t="shared" si="5"/>
        <v>309720.00000000006</v>
      </c>
      <c r="AR35" s="330">
        <f t="shared" si="6"/>
        <v>238794.12000000002</v>
      </c>
    </row>
    <row r="36" spans="1:44" s="220" customFormat="1" ht="24.95" hidden="1" customHeight="1" x14ac:dyDescent="0.2">
      <c r="A36" s="210"/>
      <c r="B36" s="221"/>
      <c r="C36" s="222"/>
      <c r="D36" s="222"/>
      <c r="E36" s="222"/>
      <c r="F36" s="223"/>
      <c r="G36" s="214">
        <f t="shared" si="3"/>
        <v>0</v>
      </c>
      <c r="H36" s="214"/>
      <c r="I36" s="214"/>
      <c r="J36" s="216">
        <f t="shared" si="7"/>
        <v>0</v>
      </c>
      <c r="K36" s="103">
        <f t="shared" si="8"/>
        <v>0</v>
      </c>
      <c r="L36" s="103">
        <f t="shared" si="9"/>
        <v>0</v>
      </c>
      <c r="M36" s="103">
        <f t="shared" si="10"/>
        <v>0</v>
      </c>
      <c r="N36" s="229">
        <f t="shared" si="11"/>
        <v>0</v>
      </c>
      <c r="O36" s="229">
        <f t="shared" si="27"/>
        <v>0</v>
      </c>
      <c r="P36" s="229">
        <f t="shared" si="28"/>
        <v>0</v>
      </c>
      <c r="Q36" s="214"/>
      <c r="R36" s="215">
        <f t="shared" si="12"/>
        <v>0</v>
      </c>
      <c r="S36" s="215">
        <f t="shared" si="13"/>
        <v>0</v>
      </c>
      <c r="T36" s="215">
        <f t="shared" si="14"/>
        <v>0</v>
      </c>
      <c r="U36" s="215">
        <f t="shared" si="15"/>
        <v>0</v>
      </c>
      <c r="V36" s="217">
        <f t="shared" si="29"/>
        <v>0</v>
      </c>
      <c r="W36" s="217"/>
      <c r="X36" s="171">
        <f t="shared" si="16"/>
        <v>0</v>
      </c>
      <c r="Y36" s="171">
        <f t="shared" si="16"/>
        <v>0</v>
      </c>
      <c r="Z36" s="217"/>
      <c r="AA36" s="217"/>
      <c r="AB36" s="217"/>
      <c r="AC36" s="215">
        <f t="shared" si="17"/>
        <v>0</v>
      </c>
      <c r="AD36" s="215">
        <f t="shared" si="18"/>
        <v>0</v>
      </c>
      <c r="AE36" s="215">
        <f t="shared" si="19"/>
        <v>0</v>
      </c>
      <c r="AF36" s="215">
        <f t="shared" si="20"/>
        <v>0</v>
      </c>
      <c r="AG36" s="215">
        <f t="shared" si="21"/>
        <v>0</v>
      </c>
      <c r="AH36" s="98">
        <f t="shared" si="30"/>
        <v>0</v>
      </c>
      <c r="AI36" s="98">
        <f t="shared" si="30"/>
        <v>0</v>
      </c>
      <c r="AJ36" s="217"/>
      <c r="AK36" s="215">
        <f t="shared" si="26"/>
        <v>0</v>
      </c>
      <c r="AL36" s="215">
        <f t="shared" si="23"/>
        <v>0</v>
      </c>
      <c r="AM36" s="215">
        <f t="shared" si="24"/>
        <v>0</v>
      </c>
      <c r="AN36" s="215">
        <f t="shared" si="24"/>
        <v>0</v>
      </c>
      <c r="AO36" s="217"/>
      <c r="AP36" s="219">
        <f t="shared" si="25"/>
        <v>0</v>
      </c>
      <c r="AQ36" s="330">
        <f t="shared" si="5"/>
        <v>0</v>
      </c>
      <c r="AR36" s="330">
        <f t="shared" si="6"/>
        <v>0</v>
      </c>
    </row>
    <row r="37" spans="1:44" s="220" customFormat="1" ht="24.95" hidden="1" customHeight="1" x14ac:dyDescent="0.2">
      <c r="A37" s="210"/>
      <c r="B37" s="211"/>
      <c r="C37" s="212"/>
      <c r="D37" s="212"/>
      <c r="E37" s="212"/>
      <c r="F37" s="213" t="s">
        <v>92</v>
      </c>
      <c r="G37" s="214">
        <f t="shared" si="3"/>
        <v>0</v>
      </c>
      <c r="H37" s="215"/>
      <c r="I37" s="215"/>
      <c r="J37" s="216">
        <f t="shared" si="7"/>
        <v>0</v>
      </c>
      <c r="K37" s="103">
        <f t="shared" si="8"/>
        <v>0</v>
      </c>
      <c r="L37" s="103">
        <f t="shared" si="9"/>
        <v>0</v>
      </c>
      <c r="M37" s="103">
        <f t="shared" si="10"/>
        <v>0</v>
      </c>
      <c r="N37" s="229">
        <f t="shared" si="11"/>
        <v>0</v>
      </c>
      <c r="O37" s="229">
        <f t="shared" si="27"/>
        <v>0</v>
      </c>
      <c r="P37" s="229">
        <f t="shared" si="28"/>
        <v>0</v>
      </c>
      <c r="Q37" s="215"/>
      <c r="R37" s="215">
        <f t="shared" si="12"/>
        <v>0</v>
      </c>
      <c r="S37" s="215">
        <f t="shared" si="13"/>
        <v>0</v>
      </c>
      <c r="T37" s="215">
        <f t="shared" si="14"/>
        <v>0</v>
      </c>
      <c r="U37" s="215">
        <f t="shared" si="15"/>
        <v>0</v>
      </c>
      <c r="V37" s="217">
        <f t="shared" si="29"/>
        <v>0</v>
      </c>
      <c r="W37" s="218"/>
      <c r="X37" s="171">
        <f t="shared" si="16"/>
        <v>0</v>
      </c>
      <c r="Y37" s="171">
        <f t="shared" si="16"/>
        <v>0</v>
      </c>
      <c r="Z37" s="218"/>
      <c r="AA37" s="218"/>
      <c r="AB37" s="218"/>
      <c r="AC37" s="215">
        <f t="shared" si="17"/>
        <v>0</v>
      </c>
      <c r="AD37" s="215">
        <f t="shared" si="18"/>
        <v>0</v>
      </c>
      <c r="AE37" s="215">
        <f t="shared" si="19"/>
        <v>0</v>
      </c>
      <c r="AF37" s="215">
        <f t="shared" si="20"/>
        <v>0</v>
      </c>
      <c r="AG37" s="215">
        <f t="shared" si="21"/>
        <v>0</v>
      </c>
      <c r="AH37" s="98">
        <f t="shared" si="30"/>
        <v>0</v>
      </c>
      <c r="AI37" s="98">
        <f t="shared" si="30"/>
        <v>0</v>
      </c>
      <c r="AJ37" s="218"/>
      <c r="AK37" s="215">
        <f t="shared" si="26"/>
        <v>0</v>
      </c>
      <c r="AL37" s="215">
        <f t="shared" si="23"/>
        <v>0</v>
      </c>
      <c r="AM37" s="215">
        <f t="shared" si="24"/>
        <v>0</v>
      </c>
      <c r="AN37" s="215">
        <f t="shared" si="24"/>
        <v>0</v>
      </c>
      <c r="AO37" s="218"/>
      <c r="AP37" s="219">
        <f t="shared" si="25"/>
        <v>0</v>
      </c>
      <c r="AQ37" s="330">
        <f t="shared" si="5"/>
        <v>0</v>
      </c>
      <c r="AR37" s="330">
        <f t="shared" si="6"/>
        <v>0</v>
      </c>
    </row>
    <row r="38" spans="1:44" s="220" customFormat="1" ht="24.95" hidden="1" customHeight="1" x14ac:dyDescent="0.2">
      <c r="A38" s="210"/>
      <c r="B38" s="211" t="s">
        <v>93</v>
      </c>
      <c r="C38" s="212"/>
      <c r="D38" s="212" t="s">
        <v>94</v>
      </c>
      <c r="E38" s="212" t="s">
        <v>90</v>
      </c>
      <c r="F38" s="213" t="s">
        <v>95</v>
      </c>
      <c r="G38" s="214">
        <f t="shared" si="3"/>
        <v>3007530</v>
      </c>
      <c r="H38" s="215">
        <f>3007530</f>
        <v>3007530</v>
      </c>
      <c r="I38" s="215">
        <f>2201418</f>
        <v>2201418</v>
      </c>
      <c r="J38" s="216">
        <f t="shared" si="7"/>
        <v>484311.96</v>
      </c>
      <c r="K38" s="103">
        <f t="shared" si="8"/>
        <v>2685729.96</v>
      </c>
      <c r="L38" s="103">
        <f t="shared" si="9"/>
        <v>2900588.3568000002</v>
      </c>
      <c r="M38" s="103">
        <f t="shared" si="10"/>
        <v>3123933.6602735999</v>
      </c>
      <c r="N38" s="229">
        <f t="shared" si="11"/>
        <v>181000.04000000004</v>
      </c>
      <c r="O38" s="229">
        <f t="shared" si="27"/>
        <v>140148.33097200005</v>
      </c>
      <c r="P38" s="229">
        <f t="shared" si="28"/>
        <v>108054.36317941203</v>
      </c>
      <c r="Q38" s="215">
        <f>1700+18500+120600</f>
        <v>140800</v>
      </c>
      <c r="R38" s="215">
        <f t="shared" si="12"/>
        <v>152064</v>
      </c>
      <c r="S38" s="215">
        <f t="shared" si="13"/>
        <v>161339.90399999998</v>
      </c>
      <c r="T38" s="215">
        <f t="shared" si="14"/>
        <v>3192800.6877720002</v>
      </c>
      <c r="U38" s="215">
        <f t="shared" si="15"/>
        <v>3393327.9274530122</v>
      </c>
      <c r="V38" s="217">
        <f t="shared" si="29"/>
        <v>0</v>
      </c>
      <c r="W38" s="218"/>
      <c r="X38" s="171">
        <f t="shared" si="16"/>
        <v>0</v>
      </c>
      <c r="Y38" s="171">
        <f t="shared" si="16"/>
        <v>0</v>
      </c>
      <c r="Z38" s="218"/>
      <c r="AA38" s="218"/>
      <c r="AB38" s="218"/>
      <c r="AC38" s="215">
        <f t="shared" si="17"/>
        <v>0</v>
      </c>
      <c r="AD38" s="215">
        <f t="shared" si="18"/>
        <v>0</v>
      </c>
      <c r="AE38" s="215">
        <f t="shared" si="19"/>
        <v>0</v>
      </c>
      <c r="AF38" s="215">
        <f t="shared" si="20"/>
        <v>0</v>
      </c>
      <c r="AG38" s="215">
        <f t="shared" si="21"/>
        <v>0</v>
      </c>
      <c r="AH38" s="98">
        <f t="shared" si="30"/>
        <v>0</v>
      </c>
      <c r="AI38" s="98">
        <f t="shared" si="30"/>
        <v>0</v>
      </c>
      <c r="AJ38" s="218"/>
      <c r="AK38" s="215">
        <f t="shared" si="26"/>
        <v>0</v>
      </c>
      <c r="AL38" s="215">
        <f t="shared" si="23"/>
        <v>0</v>
      </c>
      <c r="AM38" s="215">
        <f t="shared" si="24"/>
        <v>0</v>
      </c>
      <c r="AN38" s="215">
        <f t="shared" si="24"/>
        <v>0</v>
      </c>
      <c r="AO38" s="218"/>
      <c r="AP38" s="219">
        <f t="shared" si="25"/>
        <v>3007530</v>
      </c>
      <c r="AQ38" s="330">
        <f t="shared" si="5"/>
        <v>3192800.6877720002</v>
      </c>
      <c r="AR38" s="330">
        <f t="shared" si="6"/>
        <v>3393327.9274530122</v>
      </c>
    </row>
    <row r="39" spans="1:44" s="18" customFormat="1" ht="24.95" hidden="1" customHeight="1" x14ac:dyDescent="0.2">
      <c r="A39" s="36"/>
      <c r="B39" s="113"/>
      <c r="C39" s="104"/>
      <c r="D39" s="104"/>
      <c r="E39" s="114"/>
      <c r="F39" s="97" t="s">
        <v>92</v>
      </c>
      <c r="G39" s="96">
        <f t="shared" si="3"/>
        <v>0</v>
      </c>
      <c r="H39" s="98"/>
      <c r="I39" s="98"/>
      <c r="J39" s="103">
        <f t="shared" si="7"/>
        <v>0</v>
      </c>
      <c r="K39" s="103">
        <f t="shared" si="8"/>
        <v>0</v>
      </c>
      <c r="L39" s="103">
        <f t="shared" si="9"/>
        <v>0</v>
      </c>
      <c r="M39" s="103">
        <f t="shared" si="10"/>
        <v>0</v>
      </c>
      <c r="N39" s="229">
        <f t="shared" si="11"/>
        <v>0</v>
      </c>
      <c r="O39" s="229">
        <f>N39</f>
        <v>0</v>
      </c>
      <c r="P39" s="229">
        <f>O39</f>
        <v>0</v>
      </c>
      <c r="Q39" s="98"/>
      <c r="R39" s="98">
        <f t="shared" si="12"/>
        <v>0</v>
      </c>
      <c r="S39" s="98">
        <f t="shared" si="13"/>
        <v>0</v>
      </c>
      <c r="T39" s="150">
        <f t="shared" si="14"/>
        <v>0</v>
      </c>
      <c r="U39" s="150">
        <f t="shared" si="15"/>
        <v>0</v>
      </c>
      <c r="V39" s="99">
        <f t="shared" si="29"/>
        <v>0</v>
      </c>
      <c r="W39" s="105"/>
      <c r="X39" s="171">
        <f t="shared" si="16"/>
        <v>0</v>
      </c>
      <c r="Y39" s="171">
        <f t="shared" si="16"/>
        <v>0</v>
      </c>
      <c r="Z39" s="105"/>
      <c r="AA39" s="105"/>
      <c r="AB39" s="105"/>
      <c r="AC39" s="98">
        <f t="shared" si="17"/>
        <v>0</v>
      </c>
      <c r="AD39" s="98">
        <f t="shared" si="18"/>
        <v>0</v>
      </c>
      <c r="AE39" s="98">
        <f t="shared" si="19"/>
        <v>0</v>
      </c>
      <c r="AF39" s="98">
        <f t="shared" si="20"/>
        <v>0</v>
      </c>
      <c r="AG39" s="98">
        <f t="shared" si="21"/>
        <v>0</v>
      </c>
      <c r="AH39" s="98">
        <f t="shared" si="30"/>
        <v>0</v>
      </c>
      <c r="AI39" s="98">
        <f t="shared" si="30"/>
        <v>0</v>
      </c>
      <c r="AJ39" s="105"/>
      <c r="AK39" s="98">
        <f t="shared" si="26"/>
        <v>0</v>
      </c>
      <c r="AL39" s="98">
        <f t="shared" si="23"/>
        <v>0</v>
      </c>
      <c r="AM39" s="150">
        <f t="shared" si="24"/>
        <v>0</v>
      </c>
      <c r="AN39" s="150">
        <f t="shared" si="24"/>
        <v>0</v>
      </c>
      <c r="AO39" s="105"/>
      <c r="AP39" s="102">
        <f t="shared" si="25"/>
        <v>0</v>
      </c>
      <c r="AQ39" s="330">
        <f t="shared" si="5"/>
        <v>0</v>
      </c>
      <c r="AR39" s="330">
        <f t="shared" si="6"/>
        <v>0</v>
      </c>
    </row>
    <row r="40" spans="1:44" s="18" customFormat="1" ht="24.95" hidden="1" customHeight="1" x14ac:dyDescent="0.2">
      <c r="A40" s="36"/>
      <c r="B40" s="113"/>
      <c r="C40" s="104"/>
      <c r="D40" s="114"/>
      <c r="E40" s="114"/>
      <c r="F40" s="115"/>
      <c r="G40" s="96">
        <f t="shared" si="3"/>
        <v>0</v>
      </c>
      <c r="H40" s="98"/>
      <c r="I40" s="98"/>
      <c r="J40" s="103">
        <f t="shared" si="7"/>
        <v>0</v>
      </c>
      <c r="K40" s="103">
        <f t="shared" si="8"/>
        <v>0</v>
      </c>
      <c r="L40" s="103">
        <f t="shared" si="9"/>
        <v>0</v>
      </c>
      <c r="M40" s="103">
        <f t="shared" si="10"/>
        <v>0</v>
      </c>
      <c r="N40" s="229">
        <f t="shared" si="11"/>
        <v>0</v>
      </c>
      <c r="O40" s="229">
        <f>N40</f>
        <v>0</v>
      </c>
      <c r="P40" s="229">
        <f>O40</f>
        <v>0</v>
      </c>
      <c r="Q40" s="98"/>
      <c r="R40" s="98">
        <f t="shared" si="12"/>
        <v>0</v>
      </c>
      <c r="S40" s="98">
        <f t="shared" si="13"/>
        <v>0</v>
      </c>
      <c r="T40" s="150">
        <f t="shared" si="14"/>
        <v>0</v>
      </c>
      <c r="U40" s="150">
        <f t="shared" si="15"/>
        <v>0</v>
      </c>
      <c r="V40" s="99">
        <f t="shared" si="29"/>
        <v>0</v>
      </c>
      <c r="W40" s="105"/>
      <c r="X40" s="171">
        <f t="shared" si="16"/>
        <v>0</v>
      </c>
      <c r="Y40" s="171">
        <f t="shared" si="16"/>
        <v>0</v>
      </c>
      <c r="Z40" s="105"/>
      <c r="AA40" s="105"/>
      <c r="AB40" s="105"/>
      <c r="AC40" s="98">
        <f t="shared" si="17"/>
        <v>0</v>
      </c>
      <c r="AD40" s="98">
        <f t="shared" si="18"/>
        <v>0</v>
      </c>
      <c r="AE40" s="98">
        <f t="shared" si="19"/>
        <v>0</v>
      </c>
      <c r="AF40" s="98">
        <f t="shared" si="20"/>
        <v>0</v>
      </c>
      <c r="AG40" s="98">
        <f t="shared" si="21"/>
        <v>0</v>
      </c>
      <c r="AH40" s="98">
        <f t="shared" si="30"/>
        <v>0</v>
      </c>
      <c r="AI40" s="98">
        <f t="shared" si="30"/>
        <v>0</v>
      </c>
      <c r="AJ40" s="105"/>
      <c r="AK40" s="98">
        <f t="shared" si="26"/>
        <v>0</v>
      </c>
      <c r="AL40" s="98">
        <f t="shared" si="23"/>
        <v>0</v>
      </c>
      <c r="AM40" s="150">
        <f t="shared" si="24"/>
        <v>0</v>
      </c>
      <c r="AN40" s="150">
        <f t="shared" si="24"/>
        <v>0</v>
      </c>
      <c r="AO40" s="105"/>
      <c r="AP40" s="102">
        <f t="shared" si="25"/>
        <v>0</v>
      </c>
      <c r="AQ40" s="330">
        <f t="shared" si="5"/>
        <v>0</v>
      </c>
      <c r="AR40" s="330">
        <f t="shared" si="6"/>
        <v>0</v>
      </c>
    </row>
    <row r="41" spans="1:44" s="18" customFormat="1" ht="24.95" hidden="1" customHeight="1" x14ac:dyDescent="0.2">
      <c r="A41" s="36"/>
      <c r="B41" s="110"/>
      <c r="C41" s="94"/>
      <c r="D41" s="111"/>
      <c r="E41" s="111"/>
      <c r="F41" s="97" t="s">
        <v>92</v>
      </c>
      <c r="G41" s="96">
        <f t="shared" si="3"/>
        <v>52300</v>
      </c>
      <c r="H41" s="103">
        <f>178500-126200</f>
        <v>52300</v>
      </c>
      <c r="I41" s="98">
        <v>37133</v>
      </c>
      <c r="J41" s="103">
        <f t="shared" si="7"/>
        <v>8169.26</v>
      </c>
      <c r="K41" s="103">
        <f t="shared" si="8"/>
        <v>45302.26</v>
      </c>
      <c r="L41" s="103">
        <f>K41*1.053</f>
        <v>47703.279779999997</v>
      </c>
      <c r="M41" s="103">
        <f>L41*1.051</f>
        <v>50136.147048779996</v>
      </c>
      <c r="N41" s="229">
        <f t="shared" si="11"/>
        <v>6997.739999999998</v>
      </c>
      <c r="O41" s="229">
        <f>N41*1.053</f>
        <v>7368.6202199999971</v>
      </c>
      <c r="P41" s="229">
        <f>O41*1.051+3</f>
        <v>7747.4198512199964</v>
      </c>
      <c r="Q41" s="98"/>
      <c r="R41" s="98">
        <f t="shared" si="12"/>
        <v>0</v>
      </c>
      <c r="S41" s="98">
        <f t="shared" si="13"/>
        <v>0</v>
      </c>
      <c r="T41" s="150">
        <f t="shared" si="14"/>
        <v>55071.899999999994</v>
      </c>
      <c r="U41" s="150">
        <f t="shared" si="15"/>
        <v>57883.566899999991</v>
      </c>
      <c r="V41" s="99">
        <f t="shared" si="29"/>
        <v>0</v>
      </c>
      <c r="W41" s="99">
        <f>W42+W43</f>
        <v>0</v>
      </c>
      <c r="X41" s="171">
        <f t="shared" si="16"/>
        <v>0</v>
      </c>
      <c r="Y41" s="171">
        <f t="shared" si="16"/>
        <v>0</v>
      </c>
      <c r="Z41" s="99"/>
      <c r="AA41" s="99">
        <f>AA42+AA43</f>
        <v>0</v>
      </c>
      <c r="AB41" s="99">
        <f>AB42+AB43</f>
        <v>0</v>
      </c>
      <c r="AC41" s="98">
        <f t="shared" si="17"/>
        <v>0</v>
      </c>
      <c r="AD41" s="98">
        <f t="shared" si="18"/>
        <v>0</v>
      </c>
      <c r="AE41" s="98">
        <f t="shared" si="19"/>
        <v>0</v>
      </c>
      <c r="AF41" s="98">
        <f t="shared" si="20"/>
        <v>0</v>
      </c>
      <c r="AG41" s="98">
        <f t="shared" si="21"/>
        <v>0</v>
      </c>
      <c r="AH41" s="98">
        <f t="shared" si="30"/>
        <v>0</v>
      </c>
      <c r="AI41" s="98">
        <f t="shared" si="30"/>
        <v>0</v>
      </c>
      <c r="AJ41" s="99">
        <f t="shared" ref="AJ41:AJ67" si="31">AB41</f>
        <v>0</v>
      </c>
      <c r="AK41" s="98">
        <f t="shared" si="26"/>
        <v>0</v>
      </c>
      <c r="AL41" s="98">
        <f t="shared" si="23"/>
        <v>0</v>
      </c>
      <c r="AM41" s="150">
        <f t="shared" si="24"/>
        <v>0</v>
      </c>
      <c r="AN41" s="150">
        <f t="shared" si="24"/>
        <v>0</v>
      </c>
      <c r="AO41" s="105">
        <f>AO42+AO43</f>
        <v>0</v>
      </c>
      <c r="AP41" s="102">
        <f t="shared" si="25"/>
        <v>52300</v>
      </c>
      <c r="AQ41" s="330">
        <f t="shared" si="5"/>
        <v>55071.899999999994</v>
      </c>
      <c r="AR41" s="330">
        <f t="shared" si="6"/>
        <v>57883.566899999991</v>
      </c>
    </row>
    <row r="42" spans="1:44" s="234" customFormat="1" ht="24.95" hidden="1" customHeight="1" x14ac:dyDescent="0.2">
      <c r="A42" s="224"/>
      <c r="B42" s="225" t="s">
        <v>96</v>
      </c>
      <c r="C42" s="226"/>
      <c r="D42" s="226" t="s">
        <v>97</v>
      </c>
      <c r="E42" s="226" t="s">
        <v>98</v>
      </c>
      <c r="F42" s="227" t="s">
        <v>99</v>
      </c>
      <c r="G42" s="228">
        <f t="shared" si="3"/>
        <v>50000</v>
      </c>
      <c r="H42" s="229">
        <v>50000</v>
      </c>
      <c r="I42" s="229"/>
      <c r="J42" s="230">
        <f t="shared" si="7"/>
        <v>0</v>
      </c>
      <c r="K42" s="103">
        <f t="shared" si="8"/>
        <v>0</v>
      </c>
      <c r="L42" s="103">
        <f t="shared" si="9"/>
        <v>0</v>
      </c>
      <c r="M42" s="103">
        <f t="shared" si="10"/>
        <v>0</v>
      </c>
      <c r="N42" s="229">
        <f t="shared" si="11"/>
        <v>50000</v>
      </c>
      <c r="O42" s="229">
        <f t="shared" ref="O42:O58" si="32">N42*77.43%</f>
        <v>38715.000000000007</v>
      </c>
      <c r="P42" s="229">
        <f t="shared" ref="P42:P58" si="33">O42*77.1%</f>
        <v>29849.265000000003</v>
      </c>
      <c r="Q42" s="229">
        <f>I41-37133</f>
        <v>0</v>
      </c>
      <c r="R42" s="229">
        <f t="shared" si="12"/>
        <v>0</v>
      </c>
      <c r="S42" s="229">
        <f t="shared" si="13"/>
        <v>0</v>
      </c>
      <c r="T42" s="229">
        <f t="shared" si="14"/>
        <v>38715.000000000007</v>
      </c>
      <c r="U42" s="229">
        <f t="shared" si="15"/>
        <v>29849.265000000003</v>
      </c>
      <c r="V42" s="231">
        <f t="shared" si="29"/>
        <v>0</v>
      </c>
      <c r="W42" s="232"/>
      <c r="X42" s="171">
        <f t="shared" si="16"/>
        <v>0</v>
      </c>
      <c r="Y42" s="171">
        <f t="shared" si="16"/>
        <v>0</v>
      </c>
      <c r="Z42" s="232"/>
      <c r="AA42" s="232"/>
      <c r="AB42" s="232"/>
      <c r="AC42" s="229">
        <f t="shared" si="17"/>
        <v>0</v>
      </c>
      <c r="AD42" s="229">
        <f t="shared" si="18"/>
        <v>0</v>
      </c>
      <c r="AE42" s="229">
        <f t="shared" si="19"/>
        <v>0</v>
      </c>
      <c r="AF42" s="229">
        <f t="shared" si="20"/>
        <v>0</v>
      </c>
      <c r="AG42" s="229">
        <f t="shared" si="21"/>
        <v>0</v>
      </c>
      <c r="AH42" s="98">
        <f t="shared" si="30"/>
        <v>0</v>
      </c>
      <c r="AI42" s="98">
        <f t="shared" si="30"/>
        <v>0</v>
      </c>
      <c r="AJ42" s="232"/>
      <c r="AK42" s="229">
        <f t="shared" si="26"/>
        <v>0</v>
      </c>
      <c r="AL42" s="229">
        <f t="shared" si="23"/>
        <v>0</v>
      </c>
      <c r="AM42" s="229">
        <f t="shared" si="24"/>
        <v>0</v>
      </c>
      <c r="AN42" s="229">
        <f t="shared" si="24"/>
        <v>0</v>
      </c>
      <c r="AO42" s="232"/>
      <c r="AP42" s="233">
        <f t="shared" si="25"/>
        <v>50000</v>
      </c>
      <c r="AQ42" s="330">
        <f t="shared" si="5"/>
        <v>38715.000000000007</v>
      </c>
      <c r="AR42" s="330">
        <f t="shared" si="6"/>
        <v>29849.265000000003</v>
      </c>
    </row>
    <row r="43" spans="1:44" s="234" customFormat="1" ht="24.95" hidden="1" customHeight="1" x14ac:dyDescent="0.2">
      <c r="A43" s="224"/>
      <c r="B43" s="225" t="s">
        <v>100</v>
      </c>
      <c r="C43" s="226"/>
      <c r="D43" s="226" t="s">
        <v>101</v>
      </c>
      <c r="E43" s="226" t="s">
        <v>98</v>
      </c>
      <c r="F43" s="227" t="s">
        <v>102</v>
      </c>
      <c r="G43" s="228">
        <f t="shared" si="3"/>
        <v>565000</v>
      </c>
      <c r="H43" s="229">
        <v>565000</v>
      </c>
      <c r="I43" s="229"/>
      <c r="J43" s="230">
        <f t="shared" si="7"/>
        <v>0</v>
      </c>
      <c r="K43" s="103">
        <f t="shared" si="8"/>
        <v>0</v>
      </c>
      <c r="L43" s="103">
        <f t="shared" si="9"/>
        <v>0</v>
      </c>
      <c r="M43" s="103">
        <f t="shared" si="10"/>
        <v>0</v>
      </c>
      <c r="N43" s="229">
        <f t="shared" si="11"/>
        <v>500000</v>
      </c>
      <c r="O43" s="229">
        <f t="shared" si="32"/>
        <v>387150.00000000006</v>
      </c>
      <c r="P43" s="229">
        <f t="shared" si="33"/>
        <v>298492.65000000002</v>
      </c>
      <c r="Q43" s="229">
        <v>65000</v>
      </c>
      <c r="R43" s="229">
        <f t="shared" si="12"/>
        <v>70200</v>
      </c>
      <c r="S43" s="229">
        <f t="shared" si="13"/>
        <v>74482.2</v>
      </c>
      <c r="T43" s="229">
        <f t="shared" si="14"/>
        <v>457350.00000000006</v>
      </c>
      <c r="U43" s="229">
        <f t="shared" si="15"/>
        <v>372974.85000000003</v>
      </c>
      <c r="V43" s="231">
        <f t="shared" si="29"/>
        <v>0</v>
      </c>
      <c r="W43" s="232"/>
      <c r="X43" s="171">
        <f t="shared" si="16"/>
        <v>0</v>
      </c>
      <c r="Y43" s="171">
        <f t="shared" si="16"/>
        <v>0</v>
      </c>
      <c r="Z43" s="232"/>
      <c r="AA43" s="232"/>
      <c r="AB43" s="232"/>
      <c r="AC43" s="229">
        <f t="shared" si="17"/>
        <v>0</v>
      </c>
      <c r="AD43" s="229">
        <f t="shared" si="18"/>
        <v>0</v>
      </c>
      <c r="AE43" s="229">
        <f t="shared" si="19"/>
        <v>0</v>
      </c>
      <c r="AF43" s="229">
        <f t="shared" si="20"/>
        <v>0</v>
      </c>
      <c r="AG43" s="229">
        <f t="shared" si="21"/>
        <v>0</v>
      </c>
      <c r="AH43" s="98">
        <f t="shared" si="30"/>
        <v>0</v>
      </c>
      <c r="AI43" s="98">
        <f t="shared" si="30"/>
        <v>0</v>
      </c>
      <c r="AJ43" s="232"/>
      <c r="AK43" s="229">
        <f t="shared" si="26"/>
        <v>0</v>
      </c>
      <c r="AL43" s="229">
        <f t="shared" si="23"/>
        <v>0</v>
      </c>
      <c r="AM43" s="229">
        <f t="shared" si="24"/>
        <v>0</v>
      </c>
      <c r="AN43" s="229">
        <f t="shared" si="24"/>
        <v>0</v>
      </c>
      <c r="AO43" s="232"/>
      <c r="AP43" s="233">
        <f t="shared" si="25"/>
        <v>565000</v>
      </c>
      <c r="AQ43" s="330">
        <f t="shared" si="5"/>
        <v>457350.00000000006</v>
      </c>
      <c r="AR43" s="330">
        <f t="shared" si="6"/>
        <v>372974.85000000003</v>
      </c>
    </row>
    <row r="44" spans="1:44" s="234" customFormat="1" ht="24.95" hidden="1" customHeight="1" x14ac:dyDescent="0.2">
      <c r="A44" s="224"/>
      <c r="B44" s="225" t="s">
        <v>103</v>
      </c>
      <c r="C44" s="226"/>
      <c r="D44" s="226" t="s">
        <v>104</v>
      </c>
      <c r="E44" s="226" t="s">
        <v>98</v>
      </c>
      <c r="F44" s="227" t="s">
        <v>105</v>
      </c>
      <c r="G44" s="228">
        <f t="shared" si="3"/>
        <v>2726587</v>
      </c>
      <c r="H44" s="229">
        <f>2708200+67384-130197+81200</f>
        <v>2726587</v>
      </c>
      <c r="I44" s="229"/>
      <c r="J44" s="230">
        <f t="shared" si="7"/>
        <v>0</v>
      </c>
      <c r="K44" s="103">
        <f t="shared" si="8"/>
        <v>0</v>
      </c>
      <c r="L44" s="103">
        <f t="shared" si="9"/>
        <v>0</v>
      </c>
      <c r="M44" s="103">
        <f t="shared" si="10"/>
        <v>0</v>
      </c>
      <c r="N44" s="229">
        <f t="shared" si="11"/>
        <v>1926587</v>
      </c>
      <c r="O44" s="229">
        <f>N44*77.43%+32</f>
        <v>1491788.3141000001</v>
      </c>
      <c r="P44" s="229">
        <f>O44*77.1%+191</f>
        <v>1150359.7901710998</v>
      </c>
      <c r="Q44" s="229">
        <v>800000</v>
      </c>
      <c r="R44" s="229">
        <f t="shared" si="12"/>
        <v>864000</v>
      </c>
      <c r="S44" s="229">
        <f t="shared" si="13"/>
        <v>916704</v>
      </c>
      <c r="T44" s="229">
        <f t="shared" si="14"/>
        <v>2355788.3141000001</v>
      </c>
      <c r="U44" s="229">
        <f t="shared" si="15"/>
        <v>2067063.7901710998</v>
      </c>
      <c r="V44" s="235">
        <f t="shared" si="29"/>
        <v>500000</v>
      </c>
      <c r="W44" s="230">
        <v>500000</v>
      </c>
      <c r="X44" s="171"/>
      <c r="Y44" s="171">
        <f>X44</f>
        <v>0</v>
      </c>
      <c r="Z44" s="230">
        <v>500000</v>
      </c>
      <c r="AA44" s="230"/>
      <c r="AB44" s="230"/>
      <c r="AC44" s="229">
        <f t="shared" si="17"/>
        <v>0</v>
      </c>
      <c r="AD44" s="229">
        <f t="shared" si="18"/>
        <v>0</v>
      </c>
      <c r="AE44" s="229">
        <f t="shared" si="19"/>
        <v>0</v>
      </c>
      <c r="AF44" s="229">
        <f t="shared" si="20"/>
        <v>0</v>
      </c>
      <c r="AG44" s="229">
        <f t="shared" si="21"/>
        <v>500000</v>
      </c>
      <c r="AH44" s="98"/>
      <c r="AI44" s="98">
        <f>AH44</f>
        <v>0</v>
      </c>
      <c r="AJ44" s="230"/>
      <c r="AK44" s="229">
        <f t="shared" si="26"/>
        <v>0</v>
      </c>
      <c r="AL44" s="229">
        <f t="shared" si="23"/>
        <v>0</v>
      </c>
      <c r="AM44" s="229">
        <f t="shared" si="24"/>
        <v>0</v>
      </c>
      <c r="AN44" s="229">
        <f t="shared" si="24"/>
        <v>0</v>
      </c>
      <c r="AO44" s="230">
        <v>500000</v>
      </c>
      <c r="AP44" s="233">
        <f t="shared" si="25"/>
        <v>3226587</v>
      </c>
      <c r="AQ44" s="330">
        <f t="shared" si="5"/>
        <v>2355788.3141000001</v>
      </c>
      <c r="AR44" s="330">
        <f t="shared" si="6"/>
        <v>2067063.7901710998</v>
      </c>
    </row>
    <row r="45" spans="1:44" s="234" customFormat="1" ht="24.95" hidden="1" customHeight="1" x14ac:dyDescent="0.2">
      <c r="A45" s="224"/>
      <c r="B45" s="225"/>
      <c r="C45" s="226"/>
      <c r="D45" s="226"/>
      <c r="E45" s="236"/>
      <c r="F45" s="227"/>
      <c r="G45" s="228">
        <f t="shared" si="3"/>
        <v>0</v>
      </c>
      <c r="H45" s="228"/>
      <c r="I45" s="229"/>
      <c r="J45" s="230">
        <f t="shared" si="7"/>
        <v>0</v>
      </c>
      <c r="K45" s="103">
        <f t="shared" si="8"/>
        <v>0</v>
      </c>
      <c r="L45" s="103">
        <f t="shared" si="9"/>
        <v>0</v>
      </c>
      <c r="M45" s="103">
        <f t="shared" si="10"/>
        <v>0</v>
      </c>
      <c r="N45" s="229">
        <f t="shared" si="11"/>
        <v>0</v>
      </c>
      <c r="O45" s="229">
        <f t="shared" si="32"/>
        <v>0</v>
      </c>
      <c r="P45" s="229">
        <f t="shared" si="33"/>
        <v>0</v>
      </c>
      <c r="Q45" s="229"/>
      <c r="R45" s="229">
        <f t="shared" si="12"/>
        <v>0</v>
      </c>
      <c r="S45" s="229">
        <f t="shared" si="13"/>
        <v>0</v>
      </c>
      <c r="T45" s="229">
        <f t="shared" si="14"/>
        <v>0</v>
      </c>
      <c r="U45" s="229">
        <f t="shared" si="15"/>
        <v>0</v>
      </c>
      <c r="V45" s="231">
        <f t="shared" si="29"/>
        <v>0</v>
      </c>
      <c r="W45" s="232"/>
      <c r="X45" s="171">
        <f>W45</f>
        <v>0</v>
      </c>
      <c r="Y45" s="171">
        <f>X45</f>
        <v>0</v>
      </c>
      <c r="Z45" s="232"/>
      <c r="AA45" s="232"/>
      <c r="AB45" s="232"/>
      <c r="AC45" s="229">
        <f t="shared" si="17"/>
        <v>0</v>
      </c>
      <c r="AD45" s="229">
        <f t="shared" si="18"/>
        <v>0</v>
      </c>
      <c r="AE45" s="229">
        <f t="shared" si="19"/>
        <v>0</v>
      </c>
      <c r="AF45" s="229">
        <f t="shared" si="20"/>
        <v>0</v>
      </c>
      <c r="AG45" s="229">
        <f t="shared" si="21"/>
        <v>0</v>
      </c>
      <c r="AH45" s="98">
        <f>AG45</f>
        <v>0</v>
      </c>
      <c r="AI45" s="98">
        <f>AH45</f>
        <v>0</v>
      </c>
      <c r="AJ45" s="232"/>
      <c r="AK45" s="229">
        <f t="shared" si="26"/>
        <v>0</v>
      </c>
      <c r="AL45" s="229">
        <f t="shared" si="23"/>
        <v>0</v>
      </c>
      <c r="AM45" s="229">
        <f t="shared" si="24"/>
        <v>0</v>
      </c>
      <c r="AN45" s="229">
        <f t="shared" si="24"/>
        <v>0</v>
      </c>
      <c r="AO45" s="232"/>
      <c r="AP45" s="233">
        <f t="shared" si="25"/>
        <v>0</v>
      </c>
      <c r="AQ45" s="330">
        <f t="shared" si="5"/>
        <v>0</v>
      </c>
      <c r="AR45" s="330">
        <f t="shared" si="6"/>
        <v>0</v>
      </c>
    </row>
    <row r="46" spans="1:44" s="234" customFormat="1" ht="24.95" hidden="1" customHeight="1" x14ac:dyDescent="0.2">
      <c r="A46" s="224"/>
      <c r="B46" s="225" t="s">
        <v>106</v>
      </c>
      <c r="C46" s="226"/>
      <c r="D46" s="226" t="s">
        <v>107</v>
      </c>
      <c r="E46" s="226" t="s">
        <v>108</v>
      </c>
      <c r="F46" s="227" t="s">
        <v>109</v>
      </c>
      <c r="G46" s="228">
        <f t="shared" si="3"/>
        <v>0</v>
      </c>
      <c r="H46" s="229"/>
      <c r="I46" s="229"/>
      <c r="J46" s="230">
        <f t="shared" si="7"/>
        <v>0</v>
      </c>
      <c r="K46" s="103">
        <f t="shared" si="8"/>
        <v>0</v>
      </c>
      <c r="L46" s="103">
        <f t="shared" si="9"/>
        <v>0</v>
      </c>
      <c r="M46" s="103">
        <f t="shared" si="10"/>
        <v>0</v>
      </c>
      <c r="N46" s="229">
        <f t="shared" si="11"/>
        <v>0</v>
      </c>
      <c r="O46" s="229">
        <f t="shared" si="32"/>
        <v>0</v>
      </c>
      <c r="P46" s="229">
        <f t="shared" si="33"/>
        <v>0</v>
      </c>
      <c r="Q46" s="229"/>
      <c r="R46" s="229">
        <f t="shared" si="12"/>
        <v>0</v>
      </c>
      <c r="S46" s="229">
        <f t="shared" si="13"/>
        <v>0</v>
      </c>
      <c r="T46" s="229">
        <f t="shared" si="14"/>
        <v>0</v>
      </c>
      <c r="U46" s="229">
        <f t="shared" si="15"/>
        <v>0</v>
      </c>
      <c r="V46" s="231">
        <f t="shared" si="29"/>
        <v>0</v>
      </c>
      <c r="W46" s="232"/>
      <c r="X46" s="171">
        <f>W46</f>
        <v>0</v>
      </c>
      <c r="Y46" s="171">
        <f>X46</f>
        <v>0</v>
      </c>
      <c r="Z46" s="232"/>
      <c r="AA46" s="232"/>
      <c r="AB46" s="232"/>
      <c r="AC46" s="229">
        <f t="shared" si="17"/>
        <v>0</v>
      </c>
      <c r="AD46" s="229">
        <f t="shared" si="18"/>
        <v>0</v>
      </c>
      <c r="AE46" s="229">
        <f t="shared" si="19"/>
        <v>0</v>
      </c>
      <c r="AF46" s="229">
        <f t="shared" si="20"/>
        <v>0</v>
      </c>
      <c r="AG46" s="229">
        <f t="shared" si="21"/>
        <v>0</v>
      </c>
      <c r="AH46" s="98">
        <f>AG46</f>
        <v>0</v>
      </c>
      <c r="AI46" s="98">
        <f>AH46</f>
        <v>0</v>
      </c>
      <c r="AJ46" s="232"/>
      <c r="AK46" s="229">
        <f t="shared" si="26"/>
        <v>0</v>
      </c>
      <c r="AL46" s="229">
        <f t="shared" si="23"/>
        <v>0</v>
      </c>
      <c r="AM46" s="229">
        <f t="shared" si="24"/>
        <v>0</v>
      </c>
      <c r="AN46" s="229">
        <f t="shared" si="24"/>
        <v>0</v>
      </c>
      <c r="AO46" s="232"/>
      <c r="AP46" s="233">
        <f t="shared" si="25"/>
        <v>0</v>
      </c>
      <c r="AQ46" s="330">
        <f t="shared" si="5"/>
        <v>0</v>
      </c>
      <c r="AR46" s="330">
        <f t="shared" si="6"/>
        <v>0</v>
      </c>
    </row>
    <row r="47" spans="1:44" s="234" customFormat="1" ht="24.95" hidden="1" customHeight="1" x14ac:dyDescent="0.2">
      <c r="A47" s="224"/>
      <c r="B47" s="225" t="s">
        <v>110</v>
      </c>
      <c r="C47" s="226"/>
      <c r="D47" s="226" t="s">
        <v>111</v>
      </c>
      <c r="E47" s="226" t="s">
        <v>108</v>
      </c>
      <c r="F47" s="227" t="s">
        <v>112</v>
      </c>
      <c r="G47" s="228">
        <f t="shared" si="3"/>
        <v>489464</v>
      </c>
      <c r="H47" s="229">
        <v>489464</v>
      </c>
      <c r="I47" s="229">
        <v>360380</v>
      </c>
      <c r="J47" s="230">
        <f t="shared" si="7"/>
        <v>79283.600000000006</v>
      </c>
      <c r="K47" s="103">
        <f t="shared" si="8"/>
        <v>439663.6</v>
      </c>
      <c r="L47" s="103">
        <f t="shared" si="9"/>
        <v>474836.68800000002</v>
      </c>
      <c r="M47" s="103">
        <f t="shared" si="10"/>
        <v>511399.112976</v>
      </c>
      <c r="N47" s="229">
        <f t="shared" si="11"/>
        <v>49800.400000000023</v>
      </c>
      <c r="O47" s="229">
        <f t="shared" si="32"/>
        <v>38560.449720000026</v>
      </c>
      <c r="P47" s="229">
        <f t="shared" si="33"/>
        <v>29730.106734120018</v>
      </c>
      <c r="Q47" s="229"/>
      <c r="R47" s="229">
        <f t="shared" si="12"/>
        <v>0</v>
      </c>
      <c r="S47" s="229">
        <f t="shared" si="13"/>
        <v>0</v>
      </c>
      <c r="T47" s="229">
        <f t="shared" si="14"/>
        <v>513397.13772000006</v>
      </c>
      <c r="U47" s="229">
        <f t="shared" si="15"/>
        <v>541129.21971012</v>
      </c>
      <c r="V47" s="231">
        <f t="shared" si="29"/>
        <v>0</v>
      </c>
      <c r="W47" s="232"/>
      <c r="X47" s="171">
        <f>W47</f>
        <v>0</v>
      </c>
      <c r="Y47" s="171">
        <f>X47</f>
        <v>0</v>
      </c>
      <c r="Z47" s="232"/>
      <c r="AA47" s="232"/>
      <c r="AB47" s="232"/>
      <c r="AC47" s="229">
        <f t="shared" si="17"/>
        <v>0</v>
      </c>
      <c r="AD47" s="229">
        <f t="shared" si="18"/>
        <v>0</v>
      </c>
      <c r="AE47" s="229">
        <f t="shared" si="19"/>
        <v>0</v>
      </c>
      <c r="AF47" s="229">
        <f t="shared" si="20"/>
        <v>0</v>
      </c>
      <c r="AG47" s="229">
        <f t="shared" si="21"/>
        <v>0</v>
      </c>
      <c r="AH47" s="98">
        <f>AG47</f>
        <v>0</v>
      </c>
      <c r="AI47" s="98">
        <f>AH47</f>
        <v>0</v>
      </c>
      <c r="AJ47" s="232"/>
      <c r="AK47" s="229">
        <f t="shared" si="26"/>
        <v>0</v>
      </c>
      <c r="AL47" s="229">
        <f t="shared" si="23"/>
        <v>0</v>
      </c>
      <c r="AM47" s="229">
        <f t="shared" si="24"/>
        <v>0</v>
      </c>
      <c r="AN47" s="229">
        <f t="shared" si="24"/>
        <v>0</v>
      </c>
      <c r="AO47" s="232"/>
      <c r="AP47" s="233">
        <f t="shared" si="25"/>
        <v>489464</v>
      </c>
      <c r="AQ47" s="330">
        <f t="shared" si="5"/>
        <v>513397.13772000006</v>
      </c>
      <c r="AR47" s="330">
        <f t="shared" si="6"/>
        <v>541129.21971012</v>
      </c>
    </row>
    <row r="48" spans="1:44" s="204" customFormat="1" ht="24.95" hidden="1" customHeight="1" x14ac:dyDescent="0.2">
      <c r="A48" s="196"/>
      <c r="B48" s="208" t="s">
        <v>113</v>
      </c>
      <c r="C48" s="199"/>
      <c r="D48" s="199" t="s">
        <v>114</v>
      </c>
      <c r="E48" s="199" t="s">
        <v>115</v>
      </c>
      <c r="F48" s="200" t="s">
        <v>116</v>
      </c>
      <c r="G48" s="169">
        <f t="shared" si="3"/>
        <v>20000</v>
      </c>
      <c r="H48" s="171">
        <v>20000</v>
      </c>
      <c r="I48" s="171"/>
      <c r="J48" s="201">
        <f t="shared" si="7"/>
        <v>0</v>
      </c>
      <c r="K48" s="103">
        <f t="shared" si="8"/>
        <v>0</v>
      </c>
      <c r="L48" s="103">
        <f t="shared" si="9"/>
        <v>0</v>
      </c>
      <c r="M48" s="103">
        <f t="shared" si="10"/>
        <v>0</v>
      </c>
      <c r="N48" s="229">
        <f t="shared" si="11"/>
        <v>20000</v>
      </c>
      <c r="O48" s="229">
        <f t="shared" si="32"/>
        <v>15486.000000000002</v>
      </c>
      <c r="P48" s="229">
        <f t="shared" si="33"/>
        <v>11939.706</v>
      </c>
      <c r="Q48" s="171"/>
      <c r="R48" s="171">
        <f t="shared" si="12"/>
        <v>0</v>
      </c>
      <c r="S48" s="171">
        <f t="shared" si="13"/>
        <v>0</v>
      </c>
      <c r="T48" s="171">
        <f t="shared" si="14"/>
        <v>15486.000000000002</v>
      </c>
      <c r="U48" s="171">
        <f t="shared" si="15"/>
        <v>11939.706</v>
      </c>
      <c r="V48" s="202">
        <f t="shared" si="29"/>
        <v>100000</v>
      </c>
      <c r="W48" s="201">
        <v>100000</v>
      </c>
      <c r="X48" s="201">
        <v>100000</v>
      </c>
      <c r="Y48" s="201">
        <v>100000</v>
      </c>
      <c r="Z48" s="201"/>
      <c r="AA48" s="201"/>
      <c r="AB48" s="201"/>
      <c r="AC48" s="171">
        <f t="shared" si="17"/>
        <v>0</v>
      </c>
      <c r="AD48" s="171">
        <f t="shared" si="18"/>
        <v>0</v>
      </c>
      <c r="AE48" s="171">
        <f t="shared" si="19"/>
        <v>0</v>
      </c>
      <c r="AF48" s="171">
        <f t="shared" si="20"/>
        <v>0</v>
      </c>
      <c r="AG48" s="171">
        <f t="shared" si="21"/>
        <v>100000</v>
      </c>
      <c r="AH48" s="171">
        <f t="shared" ref="AH48" si="34">W48-AE48-AK48</f>
        <v>100000</v>
      </c>
      <c r="AI48" s="171">
        <f t="shared" ref="AI48" si="35">X48-AF48-AL48</f>
        <v>100000</v>
      </c>
      <c r="AJ48" s="201"/>
      <c r="AK48" s="171">
        <f t="shared" si="26"/>
        <v>0</v>
      </c>
      <c r="AL48" s="171">
        <f t="shared" si="23"/>
        <v>0</v>
      </c>
      <c r="AM48" s="171">
        <f t="shared" si="24"/>
        <v>100000</v>
      </c>
      <c r="AN48" s="171">
        <f t="shared" si="24"/>
        <v>100000</v>
      </c>
      <c r="AO48" s="201">
        <v>100000</v>
      </c>
      <c r="AP48" s="203">
        <f t="shared" si="25"/>
        <v>120000</v>
      </c>
      <c r="AQ48" s="330">
        <f t="shared" si="5"/>
        <v>115486</v>
      </c>
      <c r="AR48" s="330">
        <f t="shared" si="6"/>
        <v>111939.70600000001</v>
      </c>
    </row>
    <row r="49" spans="1:44" s="204" customFormat="1" ht="24.95" hidden="1" customHeight="1" x14ac:dyDescent="0.2">
      <c r="A49" s="196"/>
      <c r="B49" s="208" t="s">
        <v>117</v>
      </c>
      <c r="C49" s="199"/>
      <c r="D49" s="199" t="s">
        <v>118</v>
      </c>
      <c r="E49" s="199" t="s">
        <v>119</v>
      </c>
      <c r="F49" s="200" t="s">
        <v>246</v>
      </c>
      <c r="G49" s="169">
        <f t="shared" si="3"/>
        <v>0</v>
      </c>
      <c r="H49" s="171"/>
      <c r="I49" s="171"/>
      <c r="J49" s="201">
        <f t="shared" si="7"/>
        <v>0</v>
      </c>
      <c r="K49" s="103">
        <f t="shared" si="8"/>
        <v>0</v>
      </c>
      <c r="L49" s="103">
        <f t="shared" si="9"/>
        <v>0</v>
      </c>
      <c r="M49" s="103">
        <f t="shared" si="10"/>
        <v>0</v>
      </c>
      <c r="N49" s="229">
        <f t="shared" si="11"/>
        <v>0</v>
      </c>
      <c r="O49" s="229">
        <f t="shared" si="32"/>
        <v>0</v>
      </c>
      <c r="P49" s="229">
        <f t="shared" si="33"/>
        <v>0</v>
      </c>
      <c r="Q49" s="171"/>
      <c r="R49" s="171">
        <f t="shared" si="12"/>
        <v>0</v>
      </c>
      <c r="S49" s="171">
        <f t="shared" si="13"/>
        <v>0</v>
      </c>
      <c r="T49" s="171">
        <f t="shared" si="14"/>
        <v>0</v>
      </c>
      <c r="U49" s="171">
        <f t="shared" si="15"/>
        <v>0</v>
      </c>
      <c r="V49" s="202">
        <f>AA49+W49</f>
        <v>1600000</v>
      </c>
      <c r="W49" s="201">
        <f>1600000</f>
        <v>1600000</v>
      </c>
      <c r="X49" s="171"/>
      <c r="Y49" s="171">
        <f t="shared" ref="Y49:Y67" si="36">X49</f>
        <v>0</v>
      </c>
      <c r="Z49" s="201">
        <f>1600000</f>
        <v>1600000</v>
      </c>
      <c r="AA49" s="201"/>
      <c r="AB49" s="201"/>
      <c r="AC49" s="171">
        <f t="shared" si="17"/>
        <v>0</v>
      </c>
      <c r="AD49" s="171">
        <f t="shared" si="18"/>
        <v>0</v>
      </c>
      <c r="AE49" s="171">
        <f t="shared" si="19"/>
        <v>0</v>
      </c>
      <c r="AF49" s="171">
        <f t="shared" si="20"/>
        <v>0</v>
      </c>
      <c r="AG49" s="171">
        <f t="shared" si="21"/>
        <v>1600000</v>
      </c>
      <c r="AH49" s="98"/>
      <c r="AI49" s="98">
        <f t="shared" ref="AI49:AI56" si="37">AH49</f>
        <v>0</v>
      </c>
      <c r="AJ49" s="201"/>
      <c r="AK49" s="171">
        <f t="shared" si="26"/>
        <v>0</v>
      </c>
      <c r="AL49" s="171">
        <f t="shared" si="23"/>
        <v>0</v>
      </c>
      <c r="AM49" s="171">
        <f t="shared" si="24"/>
        <v>0</v>
      </c>
      <c r="AN49" s="171">
        <f t="shared" si="24"/>
        <v>0</v>
      </c>
      <c r="AO49" s="201">
        <f>1600000</f>
        <v>1600000</v>
      </c>
      <c r="AP49" s="203">
        <f t="shared" si="25"/>
        <v>1600000</v>
      </c>
      <c r="AQ49" s="330">
        <f t="shared" si="5"/>
        <v>0</v>
      </c>
      <c r="AR49" s="330">
        <f t="shared" si="6"/>
        <v>0</v>
      </c>
    </row>
    <row r="50" spans="1:44" s="204" customFormat="1" ht="24.95" hidden="1" customHeight="1" x14ac:dyDescent="0.2">
      <c r="A50" s="196"/>
      <c r="B50" s="208" t="s">
        <v>121</v>
      </c>
      <c r="C50" s="199"/>
      <c r="D50" s="199" t="s">
        <v>122</v>
      </c>
      <c r="E50" s="199" t="s">
        <v>119</v>
      </c>
      <c r="F50" s="200" t="s">
        <v>123</v>
      </c>
      <c r="G50" s="169">
        <f t="shared" si="3"/>
        <v>0</v>
      </c>
      <c r="H50" s="171"/>
      <c r="I50" s="171"/>
      <c r="J50" s="201">
        <f t="shared" si="7"/>
        <v>0</v>
      </c>
      <c r="K50" s="103">
        <f t="shared" si="8"/>
        <v>0</v>
      </c>
      <c r="L50" s="103">
        <f t="shared" si="9"/>
        <v>0</v>
      </c>
      <c r="M50" s="103">
        <f t="shared" si="10"/>
        <v>0</v>
      </c>
      <c r="N50" s="229">
        <f t="shared" si="11"/>
        <v>0</v>
      </c>
      <c r="O50" s="229">
        <f t="shared" si="32"/>
        <v>0</v>
      </c>
      <c r="P50" s="229">
        <f t="shared" si="33"/>
        <v>0</v>
      </c>
      <c r="Q50" s="171"/>
      <c r="R50" s="171">
        <f t="shared" si="12"/>
        <v>0</v>
      </c>
      <c r="S50" s="171">
        <f t="shared" si="13"/>
        <v>0</v>
      </c>
      <c r="T50" s="171">
        <f t="shared" si="14"/>
        <v>0</v>
      </c>
      <c r="U50" s="171">
        <f t="shared" si="15"/>
        <v>0</v>
      </c>
      <c r="V50" s="170">
        <f>AA50+W50</f>
        <v>0</v>
      </c>
      <c r="W50" s="177"/>
      <c r="X50" s="171">
        <f t="shared" ref="X50:X67" si="38">W50</f>
        <v>0</v>
      </c>
      <c r="Y50" s="171">
        <f t="shared" si="36"/>
        <v>0</v>
      </c>
      <c r="Z50" s="177"/>
      <c r="AA50" s="177"/>
      <c r="AB50" s="177"/>
      <c r="AC50" s="171">
        <f t="shared" si="17"/>
        <v>0</v>
      </c>
      <c r="AD50" s="171">
        <f t="shared" si="18"/>
        <v>0</v>
      </c>
      <c r="AE50" s="171">
        <f t="shared" si="19"/>
        <v>0</v>
      </c>
      <c r="AF50" s="171">
        <f t="shared" si="20"/>
        <v>0</v>
      </c>
      <c r="AG50" s="171">
        <f t="shared" si="21"/>
        <v>0</v>
      </c>
      <c r="AH50" s="98">
        <f t="shared" ref="AH50:AH56" si="39">AG50</f>
        <v>0</v>
      </c>
      <c r="AI50" s="98">
        <f t="shared" si="37"/>
        <v>0</v>
      </c>
      <c r="AJ50" s="177"/>
      <c r="AK50" s="171">
        <f t="shared" si="26"/>
        <v>0</v>
      </c>
      <c r="AL50" s="171">
        <f t="shared" si="23"/>
        <v>0</v>
      </c>
      <c r="AM50" s="171">
        <f t="shared" si="24"/>
        <v>0</v>
      </c>
      <c r="AN50" s="171">
        <f t="shared" si="24"/>
        <v>0</v>
      </c>
      <c r="AO50" s="177"/>
      <c r="AP50" s="203">
        <f t="shared" ref="AP50:AP68" si="40">G50+V50</f>
        <v>0</v>
      </c>
      <c r="AQ50" s="330">
        <f t="shared" si="5"/>
        <v>0</v>
      </c>
      <c r="AR50" s="330">
        <f t="shared" si="6"/>
        <v>0</v>
      </c>
    </row>
    <row r="51" spans="1:44" s="204" customFormat="1" ht="24.95" hidden="1" customHeight="1" x14ac:dyDescent="0.2">
      <c r="A51" s="196"/>
      <c r="B51" s="208" t="s">
        <v>124</v>
      </c>
      <c r="C51" s="199"/>
      <c r="D51" s="199" t="s">
        <v>125</v>
      </c>
      <c r="E51" s="199" t="s">
        <v>126</v>
      </c>
      <c r="F51" s="200" t="s">
        <v>127</v>
      </c>
      <c r="G51" s="169">
        <f t="shared" si="3"/>
        <v>800000</v>
      </c>
      <c r="H51" s="171">
        <f>800000</f>
        <v>800000</v>
      </c>
      <c r="I51" s="171"/>
      <c r="J51" s="201">
        <f t="shared" si="7"/>
        <v>0</v>
      </c>
      <c r="K51" s="103">
        <f t="shared" si="8"/>
        <v>0</v>
      </c>
      <c r="L51" s="103">
        <f t="shared" si="9"/>
        <v>0</v>
      </c>
      <c r="M51" s="103">
        <f t="shared" si="10"/>
        <v>0</v>
      </c>
      <c r="N51" s="229">
        <f t="shared" si="11"/>
        <v>800000</v>
      </c>
      <c r="O51" s="229">
        <f t="shared" si="32"/>
        <v>619440.00000000012</v>
      </c>
      <c r="P51" s="229">
        <f t="shared" si="33"/>
        <v>477588.24000000005</v>
      </c>
      <c r="Q51" s="171"/>
      <c r="R51" s="171">
        <f t="shared" si="12"/>
        <v>0</v>
      </c>
      <c r="S51" s="171">
        <f t="shared" si="13"/>
        <v>0</v>
      </c>
      <c r="T51" s="171">
        <f t="shared" si="14"/>
        <v>619440.00000000012</v>
      </c>
      <c r="U51" s="171">
        <f t="shared" si="15"/>
        <v>477588.24000000005</v>
      </c>
      <c r="V51" s="170">
        <f t="shared" si="29"/>
        <v>0</v>
      </c>
      <c r="W51" s="177"/>
      <c r="X51" s="171">
        <f t="shared" si="38"/>
        <v>0</v>
      </c>
      <c r="Y51" s="171">
        <f t="shared" si="36"/>
        <v>0</v>
      </c>
      <c r="Z51" s="177"/>
      <c r="AA51" s="177"/>
      <c r="AB51" s="177"/>
      <c r="AC51" s="171">
        <f t="shared" si="17"/>
        <v>0</v>
      </c>
      <c r="AD51" s="171">
        <f t="shared" si="18"/>
        <v>0</v>
      </c>
      <c r="AE51" s="171">
        <f t="shared" si="19"/>
        <v>0</v>
      </c>
      <c r="AF51" s="171">
        <f t="shared" si="20"/>
        <v>0</v>
      </c>
      <c r="AG51" s="171">
        <f t="shared" si="21"/>
        <v>0</v>
      </c>
      <c r="AH51" s="98">
        <f t="shared" si="39"/>
        <v>0</v>
      </c>
      <c r="AI51" s="98">
        <f t="shared" si="37"/>
        <v>0</v>
      </c>
      <c r="AJ51" s="177"/>
      <c r="AK51" s="171">
        <f t="shared" si="26"/>
        <v>0</v>
      </c>
      <c r="AL51" s="171">
        <f t="shared" si="23"/>
        <v>0</v>
      </c>
      <c r="AM51" s="171">
        <f t="shared" si="24"/>
        <v>0</v>
      </c>
      <c r="AN51" s="171">
        <f t="shared" si="24"/>
        <v>0</v>
      </c>
      <c r="AO51" s="177"/>
      <c r="AP51" s="203">
        <f t="shared" si="40"/>
        <v>800000</v>
      </c>
      <c r="AQ51" s="330">
        <f t="shared" si="5"/>
        <v>619440.00000000012</v>
      </c>
      <c r="AR51" s="330">
        <f t="shared" si="6"/>
        <v>477588.24000000005</v>
      </c>
    </row>
    <row r="52" spans="1:44" s="204" customFormat="1" ht="24.95" hidden="1" customHeight="1" x14ac:dyDescent="0.2">
      <c r="A52" s="196"/>
      <c r="B52" s="208" t="s">
        <v>128</v>
      </c>
      <c r="C52" s="199"/>
      <c r="D52" s="199" t="s">
        <v>129</v>
      </c>
      <c r="E52" s="199" t="s">
        <v>130</v>
      </c>
      <c r="F52" s="200" t="s">
        <v>131</v>
      </c>
      <c r="G52" s="169">
        <f t="shared" si="3"/>
        <v>2000</v>
      </c>
      <c r="H52" s="171">
        <v>2000</v>
      </c>
      <c r="I52" s="171"/>
      <c r="J52" s="201">
        <f t="shared" si="7"/>
        <v>0</v>
      </c>
      <c r="K52" s="103">
        <f t="shared" si="8"/>
        <v>0</v>
      </c>
      <c r="L52" s="103">
        <f t="shared" si="9"/>
        <v>0</v>
      </c>
      <c r="M52" s="103">
        <f t="shared" si="10"/>
        <v>0</v>
      </c>
      <c r="N52" s="229">
        <f t="shared" si="11"/>
        <v>2000</v>
      </c>
      <c r="O52" s="229">
        <f t="shared" si="32"/>
        <v>1548.6000000000001</v>
      </c>
      <c r="P52" s="229">
        <f t="shared" si="33"/>
        <v>1193.9705999999999</v>
      </c>
      <c r="Q52" s="171"/>
      <c r="R52" s="171">
        <f t="shared" si="12"/>
        <v>0</v>
      </c>
      <c r="S52" s="171">
        <f t="shared" si="13"/>
        <v>0</v>
      </c>
      <c r="T52" s="171">
        <f t="shared" si="14"/>
        <v>1548.6000000000001</v>
      </c>
      <c r="U52" s="171">
        <f t="shared" si="15"/>
        <v>1193.9705999999999</v>
      </c>
      <c r="V52" s="170">
        <f t="shared" si="29"/>
        <v>0</v>
      </c>
      <c r="W52" s="177"/>
      <c r="X52" s="171">
        <f t="shared" si="38"/>
        <v>0</v>
      </c>
      <c r="Y52" s="171">
        <f t="shared" si="36"/>
        <v>0</v>
      </c>
      <c r="Z52" s="177"/>
      <c r="AA52" s="177"/>
      <c r="AB52" s="177"/>
      <c r="AC52" s="171">
        <f t="shared" si="17"/>
        <v>0</v>
      </c>
      <c r="AD52" s="171">
        <f t="shared" si="18"/>
        <v>0</v>
      </c>
      <c r="AE52" s="171">
        <f t="shared" si="19"/>
        <v>0</v>
      </c>
      <c r="AF52" s="171">
        <f t="shared" si="20"/>
        <v>0</v>
      </c>
      <c r="AG52" s="171">
        <f t="shared" si="21"/>
        <v>0</v>
      </c>
      <c r="AH52" s="98">
        <f t="shared" si="39"/>
        <v>0</v>
      </c>
      <c r="AI52" s="98">
        <f t="shared" si="37"/>
        <v>0</v>
      </c>
      <c r="AJ52" s="177">
        <f t="shared" si="31"/>
        <v>0</v>
      </c>
      <c r="AK52" s="171">
        <f t="shared" si="26"/>
        <v>0</v>
      </c>
      <c r="AL52" s="171">
        <f t="shared" si="23"/>
        <v>0</v>
      </c>
      <c r="AM52" s="171">
        <f t="shared" si="24"/>
        <v>0</v>
      </c>
      <c r="AN52" s="171">
        <f t="shared" si="24"/>
        <v>0</v>
      </c>
      <c r="AO52" s="177"/>
      <c r="AP52" s="203">
        <f t="shared" si="40"/>
        <v>2000</v>
      </c>
      <c r="AQ52" s="330">
        <f t="shared" si="5"/>
        <v>1548.6000000000001</v>
      </c>
      <c r="AR52" s="330">
        <f t="shared" si="6"/>
        <v>1193.9705999999999</v>
      </c>
    </row>
    <row r="53" spans="1:44" s="204" customFormat="1" ht="24.95" hidden="1" customHeight="1" x14ac:dyDescent="0.2">
      <c r="A53" s="196"/>
      <c r="B53" s="208" t="s">
        <v>132</v>
      </c>
      <c r="C53" s="199"/>
      <c r="D53" s="199" t="s">
        <v>133</v>
      </c>
      <c r="E53" s="199" t="s">
        <v>134</v>
      </c>
      <c r="F53" s="200" t="s">
        <v>135</v>
      </c>
      <c r="G53" s="169">
        <f t="shared" si="3"/>
        <v>24000</v>
      </c>
      <c r="H53" s="171">
        <v>24000</v>
      </c>
      <c r="I53" s="171"/>
      <c r="J53" s="201">
        <f t="shared" si="7"/>
        <v>0</v>
      </c>
      <c r="K53" s="103">
        <f t="shared" si="8"/>
        <v>0</v>
      </c>
      <c r="L53" s="103">
        <f t="shared" si="9"/>
        <v>0</v>
      </c>
      <c r="M53" s="103">
        <f t="shared" si="10"/>
        <v>0</v>
      </c>
      <c r="N53" s="229">
        <f t="shared" si="11"/>
        <v>24000</v>
      </c>
      <c r="O53" s="229">
        <f t="shared" si="32"/>
        <v>18583.2</v>
      </c>
      <c r="P53" s="229">
        <f t="shared" si="33"/>
        <v>14327.647199999999</v>
      </c>
      <c r="Q53" s="171"/>
      <c r="R53" s="171">
        <f t="shared" si="12"/>
        <v>0</v>
      </c>
      <c r="S53" s="171">
        <f t="shared" si="13"/>
        <v>0</v>
      </c>
      <c r="T53" s="171">
        <f t="shared" si="14"/>
        <v>18583.2</v>
      </c>
      <c r="U53" s="171">
        <f t="shared" si="15"/>
        <v>14327.647199999999</v>
      </c>
      <c r="V53" s="170">
        <f t="shared" si="29"/>
        <v>0</v>
      </c>
      <c r="W53" s="177"/>
      <c r="X53" s="171">
        <f t="shared" si="38"/>
        <v>0</v>
      </c>
      <c r="Y53" s="171">
        <f t="shared" si="36"/>
        <v>0</v>
      </c>
      <c r="Z53" s="177"/>
      <c r="AA53" s="177"/>
      <c r="AB53" s="177"/>
      <c r="AC53" s="171">
        <f t="shared" si="17"/>
        <v>0</v>
      </c>
      <c r="AD53" s="171">
        <f t="shared" si="18"/>
        <v>0</v>
      </c>
      <c r="AE53" s="171">
        <f t="shared" si="19"/>
        <v>0</v>
      </c>
      <c r="AF53" s="171">
        <f t="shared" si="20"/>
        <v>0</v>
      </c>
      <c r="AG53" s="171">
        <f t="shared" si="21"/>
        <v>0</v>
      </c>
      <c r="AH53" s="98">
        <f t="shared" si="39"/>
        <v>0</v>
      </c>
      <c r="AI53" s="98">
        <f t="shared" si="37"/>
        <v>0</v>
      </c>
      <c r="AJ53" s="177"/>
      <c r="AK53" s="171">
        <f t="shared" si="26"/>
        <v>0</v>
      </c>
      <c r="AL53" s="171">
        <f t="shared" si="23"/>
        <v>0</v>
      </c>
      <c r="AM53" s="171">
        <f t="shared" si="24"/>
        <v>0</v>
      </c>
      <c r="AN53" s="171">
        <f t="shared" si="24"/>
        <v>0</v>
      </c>
      <c r="AO53" s="177"/>
      <c r="AP53" s="203">
        <f t="shared" si="40"/>
        <v>24000</v>
      </c>
      <c r="AQ53" s="330">
        <f t="shared" si="5"/>
        <v>18583.2</v>
      </c>
      <c r="AR53" s="330">
        <f t="shared" si="6"/>
        <v>14327.647199999999</v>
      </c>
    </row>
    <row r="54" spans="1:44" s="247" customFormat="1" ht="24.95" hidden="1" customHeight="1" x14ac:dyDescent="0.2">
      <c r="A54" s="237"/>
      <c r="B54" s="238" t="s">
        <v>136</v>
      </c>
      <c r="C54" s="239"/>
      <c r="D54" s="239" t="s">
        <v>137</v>
      </c>
      <c r="E54" s="239" t="s">
        <v>138</v>
      </c>
      <c r="F54" s="240" t="s">
        <v>139</v>
      </c>
      <c r="G54" s="241">
        <f t="shared" si="3"/>
        <v>7200</v>
      </c>
      <c r="H54" s="242">
        <v>7200</v>
      </c>
      <c r="I54" s="242"/>
      <c r="J54" s="243">
        <f t="shared" si="7"/>
        <v>0</v>
      </c>
      <c r="K54" s="103">
        <f t="shared" si="8"/>
        <v>0</v>
      </c>
      <c r="L54" s="103">
        <f t="shared" si="9"/>
        <v>0</v>
      </c>
      <c r="M54" s="103">
        <f t="shared" si="10"/>
        <v>0</v>
      </c>
      <c r="N54" s="229">
        <f t="shared" si="11"/>
        <v>7200</v>
      </c>
      <c r="O54" s="229">
        <f t="shared" si="32"/>
        <v>5574.9600000000009</v>
      </c>
      <c r="P54" s="229">
        <f t="shared" si="33"/>
        <v>4298.2941600000004</v>
      </c>
      <c r="Q54" s="242"/>
      <c r="R54" s="242">
        <f t="shared" si="12"/>
        <v>0</v>
      </c>
      <c r="S54" s="242">
        <f t="shared" si="13"/>
        <v>0</v>
      </c>
      <c r="T54" s="242">
        <f t="shared" si="14"/>
        <v>5574.9600000000009</v>
      </c>
      <c r="U54" s="242">
        <f t="shared" si="15"/>
        <v>4298.2941600000004</v>
      </c>
      <c r="V54" s="244">
        <f t="shared" si="29"/>
        <v>0</v>
      </c>
      <c r="W54" s="245"/>
      <c r="X54" s="171">
        <f t="shared" si="38"/>
        <v>0</v>
      </c>
      <c r="Y54" s="171">
        <f t="shared" si="36"/>
        <v>0</v>
      </c>
      <c r="Z54" s="245"/>
      <c r="AA54" s="245"/>
      <c r="AB54" s="245"/>
      <c r="AC54" s="242">
        <f t="shared" si="17"/>
        <v>0</v>
      </c>
      <c r="AD54" s="242">
        <f t="shared" si="18"/>
        <v>0</v>
      </c>
      <c r="AE54" s="242">
        <f t="shared" si="19"/>
        <v>0</v>
      </c>
      <c r="AF54" s="242">
        <f t="shared" si="20"/>
        <v>0</v>
      </c>
      <c r="AG54" s="242">
        <f t="shared" si="21"/>
        <v>0</v>
      </c>
      <c r="AH54" s="98">
        <f t="shared" si="39"/>
        <v>0</v>
      </c>
      <c r="AI54" s="98">
        <f t="shared" si="37"/>
        <v>0</v>
      </c>
      <c r="AJ54" s="245"/>
      <c r="AK54" s="242">
        <f t="shared" si="26"/>
        <v>0</v>
      </c>
      <c r="AL54" s="242">
        <f t="shared" si="23"/>
        <v>0</v>
      </c>
      <c r="AM54" s="242">
        <f t="shared" si="24"/>
        <v>0</v>
      </c>
      <c r="AN54" s="242">
        <f t="shared" si="24"/>
        <v>0</v>
      </c>
      <c r="AO54" s="245"/>
      <c r="AP54" s="246">
        <f t="shared" si="40"/>
        <v>7200</v>
      </c>
      <c r="AQ54" s="330">
        <f t="shared" si="5"/>
        <v>5574.9600000000009</v>
      </c>
      <c r="AR54" s="330">
        <f t="shared" si="6"/>
        <v>4298.2941600000004</v>
      </c>
    </row>
    <row r="55" spans="1:44" s="247" customFormat="1" ht="24.95" hidden="1" customHeight="1" x14ac:dyDescent="0.2">
      <c r="A55" s="237"/>
      <c r="B55" s="238" t="s">
        <v>140</v>
      </c>
      <c r="C55" s="239"/>
      <c r="D55" s="239" t="s">
        <v>141</v>
      </c>
      <c r="E55" s="239" t="s">
        <v>142</v>
      </c>
      <c r="F55" s="248" t="s">
        <v>143</v>
      </c>
      <c r="G55" s="241">
        <f t="shared" si="3"/>
        <v>10000</v>
      </c>
      <c r="H55" s="242">
        <v>10000</v>
      </c>
      <c r="I55" s="242"/>
      <c r="J55" s="243">
        <f t="shared" si="7"/>
        <v>0</v>
      </c>
      <c r="K55" s="103">
        <f t="shared" si="8"/>
        <v>0</v>
      </c>
      <c r="L55" s="103">
        <f t="shared" si="9"/>
        <v>0</v>
      </c>
      <c r="M55" s="103">
        <f t="shared" si="10"/>
        <v>0</v>
      </c>
      <c r="N55" s="229">
        <f t="shared" si="11"/>
        <v>10000</v>
      </c>
      <c r="O55" s="229">
        <f t="shared" si="32"/>
        <v>7743.0000000000009</v>
      </c>
      <c r="P55" s="229">
        <f t="shared" si="33"/>
        <v>5969.8530000000001</v>
      </c>
      <c r="Q55" s="242"/>
      <c r="R55" s="242">
        <f t="shared" si="12"/>
        <v>0</v>
      </c>
      <c r="S55" s="242">
        <f t="shared" si="13"/>
        <v>0</v>
      </c>
      <c r="T55" s="242">
        <f t="shared" si="14"/>
        <v>7743.0000000000009</v>
      </c>
      <c r="U55" s="242">
        <f t="shared" si="15"/>
        <v>5969.8530000000001</v>
      </c>
      <c r="V55" s="244">
        <f t="shared" si="29"/>
        <v>0</v>
      </c>
      <c r="W55" s="245"/>
      <c r="X55" s="171">
        <f t="shared" si="38"/>
        <v>0</v>
      </c>
      <c r="Y55" s="171">
        <f t="shared" si="36"/>
        <v>0</v>
      </c>
      <c r="Z55" s="245"/>
      <c r="AA55" s="245"/>
      <c r="AB55" s="245"/>
      <c r="AC55" s="242">
        <f t="shared" si="17"/>
        <v>0</v>
      </c>
      <c r="AD55" s="242">
        <f t="shared" si="18"/>
        <v>0</v>
      </c>
      <c r="AE55" s="242">
        <f t="shared" si="19"/>
        <v>0</v>
      </c>
      <c r="AF55" s="242">
        <f t="shared" si="20"/>
        <v>0</v>
      </c>
      <c r="AG55" s="242">
        <f t="shared" si="21"/>
        <v>0</v>
      </c>
      <c r="AH55" s="98">
        <f t="shared" si="39"/>
        <v>0</v>
      </c>
      <c r="AI55" s="98">
        <f t="shared" si="37"/>
        <v>0</v>
      </c>
      <c r="AJ55" s="245"/>
      <c r="AK55" s="242">
        <f t="shared" si="26"/>
        <v>0</v>
      </c>
      <c r="AL55" s="242">
        <f t="shared" si="23"/>
        <v>0</v>
      </c>
      <c r="AM55" s="242">
        <f t="shared" si="24"/>
        <v>0</v>
      </c>
      <c r="AN55" s="242">
        <f t="shared" si="24"/>
        <v>0</v>
      </c>
      <c r="AO55" s="245"/>
      <c r="AP55" s="246">
        <f t="shared" si="40"/>
        <v>10000</v>
      </c>
      <c r="AQ55" s="330">
        <f t="shared" si="5"/>
        <v>7743.0000000000009</v>
      </c>
      <c r="AR55" s="330">
        <f t="shared" si="6"/>
        <v>5969.8530000000001</v>
      </c>
    </row>
    <row r="56" spans="1:44" s="247" customFormat="1" ht="24.95" hidden="1" customHeight="1" x14ac:dyDescent="0.2">
      <c r="A56" s="237"/>
      <c r="B56" s="238"/>
      <c r="C56" s="239"/>
      <c r="D56" s="239"/>
      <c r="E56" s="249"/>
      <c r="F56" s="250"/>
      <c r="G56" s="241">
        <f t="shared" si="3"/>
        <v>0</v>
      </c>
      <c r="H56" s="241"/>
      <c r="I56" s="241"/>
      <c r="J56" s="243">
        <f t="shared" si="7"/>
        <v>0</v>
      </c>
      <c r="K56" s="103">
        <f t="shared" si="8"/>
        <v>0</v>
      </c>
      <c r="L56" s="103">
        <f t="shared" si="9"/>
        <v>0</v>
      </c>
      <c r="M56" s="103">
        <f t="shared" si="10"/>
        <v>0</v>
      </c>
      <c r="N56" s="229">
        <f t="shared" si="11"/>
        <v>0</v>
      </c>
      <c r="O56" s="229">
        <f t="shared" si="32"/>
        <v>0</v>
      </c>
      <c r="P56" s="229">
        <f t="shared" si="33"/>
        <v>0</v>
      </c>
      <c r="Q56" s="241"/>
      <c r="R56" s="242">
        <f t="shared" si="12"/>
        <v>0</v>
      </c>
      <c r="S56" s="242">
        <f t="shared" si="13"/>
        <v>0</v>
      </c>
      <c r="T56" s="242">
        <f t="shared" si="14"/>
        <v>0</v>
      </c>
      <c r="U56" s="242">
        <f t="shared" si="15"/>
        <v>0</v>
      </c>
      <c r="V56" s="244">
        <f t="shared" si="29"/>
        <v>0</v>
      </c>
      <c r="W56" s="244"/>
      <c r="X56" s="171">
        <f t="shared" si="38"/>
        <v>0</v>
      </c>
      <c r="Y56" s="171">
        <f t="shared" si="36"/>
        <v>0</v>
      </c>
      <c r="Z56" s="244"/>
      <c r="AA56" s="244"/>
      <c r="AB56" s="244"/>
      <c r="AC56" s="242">
        <f t="shared" si="17"/>
        <v>0</v>
      </c>
      <c r="AD56" s="242">
        <f t="shared" si="18"/>
        <v>0</v>
      </c>
      <c r="AE56" s="242">
        <f t="shared" si="19"/>
        <v>0</v>
      </c>
      <c r="AF56" s="242">
        <f t="shared" si="20"/>
        <v>0</v>
      </c>
      <c r="AG56" s="242">
        <f t="shared" si="21"/>
        <v>0</v>
      </c>
      <c r="AH56" s="98">
        <f t="shared" si="39"/>
        <v>0</v>
      </c>
      <c r="AI56" s="98">
        <f t="shared" si="37"/>
        <v>0</v>
      </c>
      <c r="AJ56" s="244">
        <f>AB56</f>
        <v>0</v>
      </c>
      <c r="AK56" s="242">
        <f t="shared" si="26"/>
        <v>0</v>
      </c>
      <c r="AL56" s="242">
        <f t="shared" si="23"/>
        <v>0</v>
      </c>
      <c r="AM56" s="242">
        <f t="shared" si="24"/>
        <v>0</v>
      </c>
      <c r="AN56" s="242">
        <f t="shared" si="24"/>
        <v>0</v>
      </c>
      <c r="AO56" s="244"/>
      <c r="AP56" s="246">
        <f t="shared" si="40"/>
        <v>0</v>
      </c>
      <c r="AQ56" s="330">
        <f t="shared" si="5"/>
        <v>0</v>
      </c>
      <c r="AR56" s="330">
        <f t="shared" si="6"/>
        <v>0</v>
      </c>
    </row>
    <row r="57" spans="1:44" s="247" customFormat="1" ht="24.95" hidden="1" customHeight="1" x14ac:dyDescent="0.2">
      <c r="A57" s="237"/>
      <c r="B57" s="238" t="s">
        <v>144</v>
      </c>
      <c r="C57" s="239"/>
      <c r="D57" s="239" t="s">
        <v>145</v>
      </c>
      <c r="E57" s="239" t="s">
        <v>146</v>
      </c>
      <c r="F57" s="240" t="s">
        <v>147</v>
      </c>
      <c r="G57" s="241">
        <f t="shared" si="3"/>
        <v>0</v>
      </c>
      <c r="H57" s="242"/>
      <c r="I57" s="242"/>
      <c r="J57" s="243">
        <f t="shared" si="7"/>
        <v>0</v>
      </c>
      <c r="K57" s="103">
        <f t="shared" si="8"/>
        <v>0</v>
      </c>
      <c r="L57" s="103">
        <f t="shared" si="9"/>
        <v>0</v>
      </c>
      <c r="M57" s="103">
        <f t="shared" si="10"/>
        <v>0</v>
      </c>
      <c r="N57" s="229">
        <f t="shared" si="11"/>
        <v>0</v>
      </c>
      <c r="O57" s="229">
        <f t="shared" si="32"/>
        <v>0</v>
      </c>
      <c r="P57" s="229">
        <f t="shared" si="33"/>
        <v>0</v>
      </c>
      <c r="Q57" s="242"/>
      <c r="R57" s="242">
        <f t="shared" si="12"/>
        <v>0</v>
      </c>
      <c r="S57" s="242">
        <f t="shared" si="13"/>
        <v>0</v>
      </c>
      <c r="T57" s="242">
        <f t="shared" si="14"/>
        <v>0</v>
      </c>
      <c r="U57" s="242">
        <f t="shared" si="15"/>
        <v>0</v>
      </c>
      <c r="V57" s="251">
        <f t="shared" si="29"/>
        <v>54500</v>
      </c>
      <c r="W57" s="243"/>
      <c r="X57" s="171">
        <f t="shared" si="38"/>
        <v>0</v>
      </c>
      <c r="Y57" s="171">
        <f t="shared" si="36"/>
        <v>0</v>
      </c>
      <c r="Z57" s="243"/>
      <c r="AA57" s="243">
        <v>54500</v>
      </c>
      <c r="AB57" s="245"/>
      <c r="AC57" s="242">
        <f t="shared" si="17"/>
        <v>0</v>
      </c>
      <c r="AD57" s="242">
        <f t="shared" si="18"/>
        <v>0</v>
      </c>
      <c r="AE57" s="242">
        <f t="shared" si="19"/>
        <v>0</v>
      </c>
      <c r="AF57" s="242">
        <f t="shared" si="20"/>
        <v>0</v>
      </c>
      <c r="AG57" s="242">
        <f t="shared" si="21"/>
        <v>54500</v>
      </c>
      <c r="AH57" s="98">
        <v>55400</v>
      </c>
      <c r="AI57" s="98">
        <v>56300</v>
      </c>
      <c r="AJ57" s="245">
        <f t="shared" si="31"/>
        <v>0</v>
      </c>
      <c r="AK57" s="242">
        <f t="shared" si="26"/>
        <v>0</v>
      </c>
      <c r="AL57" s="242">
        <f t="shared" si="23"/>
        <v>0</v>
      </c>
      <c r="AM57" s="242">
        <f t="shared" si="24"/>
        <v>55400</v>
      </c>
      <c r="AN57" s="242">
        <f t="shared" si="24"/>
        <v>56300</v>
      </c>
      <c r="AO57" s="245"/>
      <c r="AP57" s="246">
        <f t="shared" si="40"/>
        <v>54500</v>
      </c>
      <c r="AQ57" s="330">
        <f t="shared" si="5"/>
        <v>55400</v>
      </c>
      <c r="AR57" s="330">
        <f t="shared" si="6"/>
        <v>56300</v>
      </c>
    </row>
    <row r="58" spans="1:44" s="247" customFormat="1" ht="24.95" hidden="1" customHeight="1" x14ac:dyDescent="0.2">
      <c r="A58" s="237"/>
      <c r="B58" s="238" t="s">
        <v>148</v>
      </c>
      <c r="C58" s="239"/>
      <c r="D58" s="239" t="s">
        <v>149</v>
      </c>
      <c r="E58" s="239" t="s">
        <v>149</v>
      </c>
      <c r="F58" s="240" t="s">
        <v>150</v>
      </c>
      <c r="G58" s="241">
        <f t="shared" si="3"/>
        <v>120000</v>
      </c>
      <c r="H58" s="242">
        <v>120000</v>
      </c>
      <c r="I58" s="242"/>
      <c r="J58" s="243">
        <f t="shared" si="7"/>
        <v>0</v>
      </c>
      <c r="K58" s="103">
        <f t="shared" si="8"/>
        <v>0</v>
      </c>
      <c r="L58" s="103">
        <f t="shared" si="9"/>
        <v>0</v>
      </c>
      <c r="M58" s="103">
        <f t="shared" si="10"/>
        <v>0</v>
      </c>
      <c r="N58" s="229">
        <f t="shared" si="11"/>
        <v>120000</v>
      </c>
      <c r="O58" s="229">
        <f t="shared" si="32"/>
        <v>92916.000000000015</v>
      </c>
      <c r="P58" s="229">
        <f t="shared" si="33"/>
        <v>71638.236000000004</v>
      </c>
      <c r="Q58" s="242"/>
      <c r="R58" s="242">
        <f t="shared" si="12"/>
        <v>0</v>
      </c>
      <c r="S58" s="242">
        <f t="shared" si="13"/>
        <v>0</v>
      </c>
      <c r="T58" s="242">
        <f t="shared" si="14"/>
        <v>92916.000000000015</v>
      </c>
      <c r="U58" s="242">
        <f t="shared" si="15"/>
        <v>71638.236000000004</v>
      </c>
      <c r="V58" s="244">
        <f t="shared" si="29"/>
        <v>0</v>
      </c>
      <c r="W58" s="245"/>
      <c r="X58" s="171">
        <f t="shared" si="38"/>
        <v>0</v>
      </c>
      <c r="Y58" s="171">
        <f t="shared" si="36"/>
        <v>0</v>
      </c>
      <c r="Z58" s="245"/>
      <c r="AA58" s="245"/>
      <c r="AB58" s="245"/>
      <c r="AC58" s="242">
        <f t="shared" si="17"/>
        <v>0</v>
      </c>
      <c r="AD58" s="242">
        <f t="shared" si="18"/>
        <v>0</v>
      </c>
      <c r="AE58" s="242">
        <f t="shared" si="19"/>
        <v>0</v>
      </c>
      <c r="AF58" s="242">
        <f t="shared" si="20"/>
        <v>0</v>
      </c>
      <c r="AG58" s="242">
        <f t="shared" si="21"/>
        <v>0</v>
      </c>
      <c r="AH58" s="98">
        <f t="shared" ref="AH58:AI67" si="41">AG58</f>
        <v>0</v>
      </c>
      <c r="AI58" s="98">
        <f t="shared" si="41"/>
        <v>0</v>
      </c>
      <c r="AJ58" s="245">
        <f t="shared" si="31"/>
        <v>0</v>
      </c>
      <c r="AK58" s="242">
        <f t="shared" si="26"/>
        <v>0</v>
      </c>
      <c r="AL58" s="242">
        <f t="shared" si="23"/>
        <v>0</v>
      </c>
      <c r="AM58" s="242">
        <f t="shared" si="24"/>
        <v>0</v>
      </c>
      <c r="AN58" s="242">
        <f t="shared" si="24"/>
        <v>0</v>
      </c>
      <c r="AO58" s="245"/>
      <c r="AP58" s="246">
        <f t="shared" si="40"/>
        <v>120000</v>
      </c>
      <c r="AQ58" s="330">
        <f t="shared" si="5"/>
        <v>92916.000000000015</v>
      </c>
      <c r="AR58" s="330">
        <f t="shared" si="6"/>
        <v>71638.236000000004</v>
      </c>
    </row>
    <row r="59" spans="1:44" s="247" customFormat="1" ht="24.95" hidden="1" customHeight="1" x14ac:dyDescent="0.2">
      <c r="A59" s="237"/>
      <c r="B59" s="238" t="s">
        <v>151</v>
      </c>
      <c r="C59" s="239"/>
      <c r="D59" s="239" t="s">
        <v>51</v>
      </c>
      <c r="E59" s="239" t="s">
        <v>51</v>
      </c>
      <c r="F59" s="240" t="s">
        <v>152</v>
      </c>
      <c r="G59" s="241">
        <v>100000</v>
      </c>
      <c r="H59" s="243"/>
      <c r="I59" s="242"/>
      <c r="J59" s="243">
        <f t="shared" si="7"/>
        <v>0</v>
      </c>
      <c r="K59" s="103">
        <f t="shared" si="8"/>
        <v>0</v>
      </c>
      <c r="L59" s="103">
        <f t="shared" si="9"/>
        <v>0</v>
      </c>
      <c r="M59" s="103">
        <f t="shared" si="10"/>
        <v>0</v>
      </c>
      <c r="N59" s="229"/>
      <c r="O59" s="229"/>
      <c r="P59" s="229"/>
      <c r="Q59" s="242"/>
      <c r="R59" s="242">
        <f t="shared" si="12"/>
        <v>0</v>
      </c>
      <c r="S59" s="242">
        <f t="shared" si="13"/>
        <v>0</v>
      </c>
      <c r="T59" s="242">
        <f>G59</f>
        <v>100000</v>
      </c>
      <c r="U59" s="242">
        <f>G59</f>
        <v>100000</v>
      </c>
      <c r="V59" s="244">
        <f t="shared" si="29"/>
        <v>0</v>
      </c>
      <c r="W59" s="245"/>
      <c r="X59" s="171">
        <f t="shared" si="38"/>
        <v>0</v>
      </c>
      <c r="Y59" s="171">
        <f t="shared" si="36"/>
        <v>0</v>
      </c>
      <c r="Z59" s="245"/>
      <c r="AA59" s="245"/>
      <c r="AB59" s="245"/>
      <c r="AC59" s="242">
        <f t="shared" si="17"/>
        <v>0</v>
      </c>
      <c r="AD59" s="242">
        <f t="shared" si="18"/>
        <v>0</v>
      </c>
      <c r="AE59" s="242">
        <f t="shared" si="19"/>
        <v>0</v>
      </c>
      <c r="AF59" s="242">
        <f t="shared" si="20"/>
        <v>0</v>
      </c>
      <c r="AG59" s="242">
        <f t="shared" si="21"/>
        <v>0</v>
      </c>
      <c r="AH59" s="98">
        <f t="shared" si="41"/>
        <v>0</v>
      </c>
      <c r="AI59" s="98">
        <f t="shared" si="41"/>
        <v>0</v>
      </c>
      <c r="AJ59" s="245">
        <f t="shared" si="31"/>
        <v>0</v>
      </c>
      <c r="AK59" s="242">
        <f t="shared" si="26"/>
        <v>0</v>
      </c>
      <c r="AL59" s="242">
        <f t="shared" si="23"/>
        <v>0</v>
      </c>
      <c r="AM59" s="242">
        <f t="shared" si="24"/>
        <v>0</v>
      </c>
      <c r="AN59" s="242">
        <f t="shared" si="24"/>
        <v>0</v>
      </c>
      <c r="AO59" s="245">
        <f>AB59</f>
        <v>0</v>
      </c>
      <c r="AP59" s="246">
        <f t="shared" si="40"/>
        <v>100000</v>
      </c>
      <c r="AQ59" s="330">
        <f t="shared" si="5"/>
        <v>100000</v>
      </c>
      <c r="AR59" s="330">
        <f t="shared" si="6"/>
        <v>100000</v>
      </c>
    </row>
    <row r="60" spans="1:44" s="18" customFormat="1" ht="24.95" hidden="1" customHeight="1" x14ac:dyDescent="0.2">
      <c r="A60" s="36"/>
      <c r="B60" s="112" t="s">
        <v>153</v>
      </c>
      <c r="C60" s="104"/>
      <c r="D60" s="104" t="s">
        <v>154</v>
      </c>
      <c r="E60" s="104" t="s">
        <v>154</v>
      </c>
      <c r="F60" s="97" t="s">
        <v>155</v>
      </c>
      <c r="G60" s="96">
        <f t="shared" si="3"/>
        <v>3467500</v>
      </c>
      <c r="H60" s="116">
        <v>3467500</v>
      </c>
      <c r="I60" s="98"/>
      <c r="J60" s="103">
        <f t="shared" si="7"/>
        <v>0</v>
      </c>
      <c r="K60" s="103">
        <f t="shared" si="8"/>
        <v>0</v>
      </c>
      <c r="L60" s="103">
        <f t="shared" si="9"/>
        <v>0</v>
      </c>
      <c r="M60" s="103">
        <f t="shared" si="10"/>
        <v>0</v>
      </c>
      <c r="N60" s="229">
        <f t="shared" ref="N60:N67" si="42">H60-K60-Q60</f>
        <v>3467500</v>
      </c>
      <c r="O60" s="229"/>
      <c r="P60" s="229">
        <f t="shared" ref="P60:P66" si="43">O60</f>
        <v>0</v>
      </c>
      <c r="Q60" s="98"/>
      <c r="R60" s="98">
        <f t="shared" si="12"/>
        <v>0</v>
      </c>
      <c r="S60" s="98">
        <f t="shared" si="13"/>
        <v>0</v>
      </c>
      <c r="T60" s="150">
        <f t="shared" ref="T60:U67" si="44">L60+O60+R60</f>
        <v>0</v>
      </c>
      <c r="U60" s="150">
        <f t="shared" si="44"/>
        <v>0</v>
      </c>
      <c r="V60" s="99">
        <f t="shared" si="29"/>
        <v>0</v>
      </c>
      <c r="W60" s="105"/>
      <c r="X60" s="171">
        <f t="shared" si="38"/>
        <v>0</v>
      </c>
      <c r="Y60" s="171">
        <f t="shared" si="36"/>
        <v>0</v>
      </c>
      <c r="Z60" s="105"/>
      <c r="AA60" s="105"/>
      <c r="AB60" s="105"/>
      <c r="AC60" s="98">
        <f t="shared" si="17"/>
        <v>0</v>
      </c>
      <c r="AD60" s="98">
        <f t="shared" si="18"/>
        <v>0</v>
      </c>
      <c r="AE60" s="98">
        <f t="shared" si="19"/>
        <v>0</v>
      </c>
      <c r="AF60" s="98">
        <f t="shared" si="20"/>
        <v>0</v>
      </c>
      <c r="AG60" s="98">
        <f t="shared" si="21"/>
        <v>0</v>
      </c>
      <c r="AH60" s="98">
        <f t="shared" si="41"/>
        <v>0</v>
      </c>
      <c r="AI60" s="98">
        <f t="shared" si="41"/>
        <v>0</v>
      </c>
      <c r="AJ60" s="105">
        <f t="shared" si="31"/>
        <v>0</v>
      </c>
      <c r="AK60" s="98">
        <f t="shared" si="26"/>
        <v>0</v>
      </c>
      <c r="AL60" s="98">
        <f t="shared" si="23"/>
        <v>0</v>
      </c>
      <c r="AM60" s="150">
        <f t="shared" si="24"/>
        <v>0</v>
      </c>
      <c r="AN60" s="150">
        <f t="shared" si="24"/>
        <v>0</v>
      </c>
      <c r="AO60" s="105">
        <f>AB60</f>
        <v>0</v>
      </c>
      <c r="AP60" s="102">
        <f t="shared" si="40"/>
        <v>3467500</v>
      </c>
      <c r="AQ60" s="330">
        <f t="shared" si="5"/>
        <v>0</v>
      </c>
      <c r="AR60" s="330">
        <f t="shared" si="6"/>
        <v>0</v>
      </c>
    </row>
    <row r="61" spans="1:44" s="18" customFormat="1" ht="24.95" hidden="1" customHeight="1" x14ac:dyDescent="0.2">
      <c r="A61" s="36"/>
      <c r="B61" s="112"/>
      <c r="C61" s="104"/>
      <c r="D61" s="104"/>
      <c r="E61" s="104"/>
      <c r="F61" s="97" t="s">
        <v>156</v>
      </c>
      <c r="G61" s="96">
        <f t="shared" si="3"/>
        <v>3467500</v>
      </c>
      <c r="H61" s="116">
        <v>3467500</v>
      </c>
      <c r="I61" s="98"/>
      <c r="J61" s="103">
        <f t="shared" si="7"/>
        <v>0</v>
      </c>
      <c r="K61" s="103">
        <f t="shared" si="8"/>
        <v>0</v>
      </c>
      <c r="L61" s="103">
        <f t="shared" si="9"/>
        <v>0</v>
      </c>
      <c r="M61" s="103">
        <f t="shared" si="10"/>
        <v>0</v>
      </c>
      <c r="N61" s="229">
        <f t="shared" si="42"/>
        <v>3467500</v>
      </c>
      <c r="O61" s="229"/>
      <c r="P61" s="229">
        <f t="shared" si="43"/>
        <v>0</v>
      </c>
      <c r="Q61" s="98"/>
      <c r="R61" s="98">
        <f t="shared" si="12"/>
        <v>0</v>
      </c>
      <c r="S61" s="98">
        <f t="shared" si="13"/>
        <v>0</v>
      </c>
      <c r="T61" s="150">
        <f t="shared" si="44"/>
        <v>0</v>
      </c>
      <c r="U61" s="150">
        <f t="shared" si="44"/>
        <v>0</v>
      </c>
      <c r="V61" s="99">
        <f t="shared" si="29"/>
        <v>0</v>
      </c>
      <c r="W61" s="105"/>
      <c r="X61" s="171">
        <f t="shared" si="38"/>
        <v>0</v>
      </c>
      <c r="Y61" s="171">
        <f t="shared" si="36"/>
        <v>0</v>
      </c>
      <c r="Z61" s="105"/>
      <c r="AA61" s="105"/>
      <c r="AB61" s="105"/>
      <c r="AC61" s="98">
        <f t="shared" si="17"/>
        <v>0</v>
      </c>
      <c r="AD61" s="98">
        <f t="shared" si="18"/>
        <v>0</v>
      </c>
      <c r="AE61" s="98">
        <f t="shared" si="19"/>
        <v>0</v>
      </c>
      <c r="AF61" s="98">
        <f t="shared" si="20"/>
        <v>0</v>
      </c>
      <c r="AG61" s="98">
        <f t="shared" si="21"/>
        <v>0</v>
      </c>
      <c r="AH61" s="98">
        <f t="shared" si="41"/>
        <v>0</v>
      </c>
      <c r="AI61" s="98">
        <f t="shared" si="41"/>
        <v>0</v>
      </c>
      <c r="AJ61" s="105">
        <f t="shared" si="31"/>
        <v>0</v>
      </c>
      <c r="AK61" s="98">
        <f t="shared" si="26"/>
        <v>0</v>
      </c>
      <c r="AL61" s="98">
        <f t="shared" si="23"/>
        <v>0</v>
      </c>
      <c r="AM61" s="150">
        <f t="shared" si="24"/>
        <v>0</v>
      </c>
      <c r="AN61" s="150">
        <f t="shared" si="24"/>
        <v>0</v>
      </c>
      <c r="AO61" s="105"/>
      <c r="AP61" s="102">
        <f t="shared" si="40"/>
        <v>3467500</v>
      </c>
      <c r="AQ61" s="330">
        <f t="shared" si="5"/>
        <v>0</v>
      </c>
      <c r="AR61" s="330">
        <f t="shared" si="6"/>
        <v>0</v>
      </c>
    </row>
    <row r="62" spans="1:44" s="18" customFormat="1" ht="24.95" hidden="1" customHeight="1" x14ac:dyDescent="0.2">
      <c r="A62" s="36"/>
      <c r="B62" s="117" t="s">
        <v>43</v>
      </c>
      <c r="C62" s="104"/>
      <c r="D62" s="104"/>
      <c r="E62" s="104"/>
      <c r="F62" s="118"/>
      <c r="G62" s="96">
        <f t="shared" si="3"/>
        <v>0</v>
      </c>
      <c r="H62" s="98"/>
      <c r="I62" s="98"/>
      <c r="J62" s="103">
        <f t="shared" si="7"/>
        <v>0</v>
      </c>
      <c r="K62" s="103">
        <f t="shared" si="8"/>
        <v>0</v>
      </c>
      <c r="L62" s="103">
        <f t="shared" si="9"/>
        <v>0</v>
      </c>
      <c r="M62" s="103">
        <f t="shared" si="10"/>
        <v>0</v>
      </c>
      <c r="N62" s="229">
        <f t="shared" si="42"/>
        <v>0</v>
      </c>
      <c r="O62" s="229">
        <f>N62</f>
        <v>0</v>
      </c>
      <c r="P62" s="229">
        <f t="shared" si="43"/>
        <v>0</v>
      </c>
      <c r="Q62" s="98"/>
      <c r="R62" s="98">
        <f t="shared" si="12"/>
        <v>0</v>
      </c>
      <c r="S62" s="98">
        <f t="shared" si="13"/>
        <v>0</v>
      </c>
      <c r="T62" s="150">
        <f t="shared" si="44"/>
        <v>0</v>
      </c>
      <c r="U62" s="150">
        <f t="shared" si="44"/>
        <v>0</v>
      </c>
      <c r="V62" s="99">
        <f t="shared" si="29"/>
        <v>0</v>
      </c>
      <c r="W62" s="105"/>
      <c r="X62" s="171">
        <f t="shared" si="38"/>
        <v>0</v>
      </c>
      <c r="Y62" s="171">
        <f t="shared" si="36"/>
        <v>0</v>
      </c>
      <c r="Z62" s="105"/>
      <c r="AA62" s="105"/>
      <c r="AB62" s="105"/>
      <c r="AC62" s="98">
        <f t="shared" si="17"/>
        <v>0</v>
      </c>
      <c r="AD62" s="98">
        <f t="shared" si="18"/>
        <v>0</v>
      </c>
      <c r="AE62" s="98">
        <f t="shared" si="19"/>
        <v>0</v>
      </c>
      <c r="AF62" s="98">
        <f t="shared" si="20"/>
        <v>0</v>
      </c>
      <c r="AG62" s="98">
        <f t="shared" si="21"/>
        <v>0</v>
      </c>
      <c r="AH62" s="98">
        <f t="shared" si="41"/>
        <v>0</v>
      </c>
      <c r="AI62" s="98">
        <f t="shared" si="41"/>
        <v>0</v>
      </c>
      <c r="AJ62" s="105">
        <f t="shared" si="31"/>
        <v>0</v>
      </c>
      <c r="AK62" s="98">
        <f t="shared" si="26"/>
        <v>0</v>
      </c>
      <c r="AL62" s="98">
        <f t="shared" si="23"/>
        <v>0</v>
      </c>
      <c r="AM62" s="150">
        <f t="shared" si="24"/>
        <v>0</v>
      </c>
      <c r="AN62" s="150">
        <f t="shared" si="24"/>
        <v>0</v>
      </c>
      <c r="AO62" s="105">
        <f>AB62</f>
        <v>0</v>
      </c>
      <c r="AP62" s="102">
        <f t="shared" si="40"/>
        <v>0</v>
      </c>
      <c r="AQ62" s="330">
        <f t="shared" si="5"/>
        <v>0</v>
      </c>
      <c r="AR62" s="330">
        <f t="shared" si="6"/>
        <v>0</v>
      </c>
    </row>
    <row r="63" spans="1:44" s="18" customFormat="1" ht="24.95" hidden="1" customHeight="1" x14ac:dyDescent="0.2">
      <c r="A63" s="36"/>
      <c r="B63" s="117" t="s">
        <v>158</v>
      </c>
      <c r="C63" s="104"/>
      <c r="D63" s="104"/>
      <c r="E63" s="104"/>
      <c r="F63" s="118"/>
      <c r="G63" s="96">
        <f t="shared" si="3"/>
        <v>0</v>
      </c>
      <c r="H63" s="98"/>
      <c r="I63" s="98"/>
      <c r="J63" s="103">
        <f t="shared" si="7"/>
        <v>0</v>
      </c>
      <c r="K63" s="103">
        <f t="shared" si="8"/>
        <v>0</v>
      </c>
      <c r="L63" s="103">
        <f t="shared" si="9"/>
        <v>0</v>
      </c>
      <c r="M63" s="103">
        <f t="shared" si="10"/>
        <v>0</v>
      </c>
      <c r="N63" s="229">
        <f t="shared" si="42"/>
        <v>0</v>
      </c>
      <c r="O63" s="229">
        <f>N63</f>
        <v>0</v>
      </c>
      <c r="P63" s="229">
        <f t="shared" si="43"/>
        <v>0</v>
      </c>
      <c r="Q63" s="98"/>
      <c r="R63" s="98">
        <f t="shared" si="12"/>
        <v>0</v>
      </c>
      <c r="S63" s="98">
        <f t="shared" si="13"/>
        <v>0</v>
      </c>
      <c r="T63" s="150">
        <f t="shared" si="44"/>
        <v>0</v>
      </c>
      <c r="U63" s="150">
        <f t="shared" si="44"/>
        <v>0</v>
      </c>
      <c r="V63" s="99">
        <f t="shared" si="29"/>
        <v>0</v>
      </c>
      <c r="W63" s="105"/>
      <c r="X63" s="171">
        <f t="shared" si="38"/>
        <v>0</v>
      </c>
      <c r="Y63" s="171">
        <f t="shared" si="36"/>
        <v>0</v>
      </c>
      <c r="Z63" s="105"/>
      <c r="AA63" s="105"/>
      <c r="AB63" s="105"/>
      <c r="AC63" s="98">
        <f t="shared" si="17"/>
        <v>0</v>
      </c>
      <c r="AD63" s="98">
        <f t="shared" si="18"/>
        <v>0</v>
      </c>
      <c r="AE63" s="98">
        <f t="shared" si="19"/>
        <v>0</v>
      </c>
      <c r="AF63" s="98">
        <f t="shared" si="20"/>
        <v>0</v>
      </c>
      <c r="AG63" s="98">
        <f t="shared" si="21"/>
        <v>0</v>
      </c>
      <c r="AH63" s="98">
        <f t="shared" si="41"/>
        <v>0</v>
      </c>
      <c r="AI63" s="98">
        <f t="shared" si="41"/>
        <v>0</v>
      </c>
      <c r="AJ63" s="105">
        <f t="shared" si="31"/>
        <v>0</v>
      </c>
      <c r="AK63" s="98">
        <f t="shared" si="26"/>
        <v>0</v>
      </c>
      <c r="AL63" s="98">
        <f t="shared" si="23"/>
        <v>0</v>
      </c>
      <c r="AM63" s="150">
        <f t="shared" si="24"/>
        <v>0</v>
      </c>
      <c r="AN63" s="150">
        <f t="shared" si="24"/>
        <v>0</v>
      </c>
      <c r="AO63" s="105"/>
      <c r="AP63" s="102">
        <f t="shared" si="40"/>
        <v>0</v>
      </c>
      <c r="AQ63" s="330">
        <f t="shared" si="5"/>
        <v>0</v>
      </c>
      <c r="AR63" s="330">
        <f t="shared" si="6"/>
        <v>0</v>
      </c>
    </row>
    <row r="64" spans="1:44" s="18" customFormat="1" ht="24.95" hidden="1" customHeight="1" x14ac:dyDescent="0.2">
      <c r="A64" s="36"/>
      <c r="B64" s="117"/>
      <c r="C64" s="104"/>
      <c r="D64" s="104"/>
      <c r="E64" s="104"/>
      <c r="F64" s="118"/>
      <c r="G64" s="96">
        <f t="shared" si="3"/>
        <v>0</v>
      </c>
      <c r="H64" s="98"/>
      <c r="I64" s="98"/>
      <c r="J64" s="103">
        <f t="shared" si="7"/>
        <v>0</v>
      </c>
      <c r="K64" s="103">
        <f t="shared" si="8"/>
        <v>0</v>
      </c>
      <c r="L64" s="103">
        <f t="shared" si="9"/>
        <v>0</v>
      </c>
      <c r="M64" s="103">
        <f t="shared" si="10"/>
        <v>0</v>
      </c>
      <c r="N64" s="229">
        <f t="shared" si="42"/>
        <v>0</v>
      </c>
      <c r="O64" s="229">
        <f>N64</f>
        <v>0</v>
      </c>
      <c r="P64" s="229">
        <f t="shared" si="43"/>
        <v>0</v>
      </c>
      <c r="Q64" s="98"/>
      <c r="R64" s="98">
        <f t="shared" si="12"/>
        <v>0</v>
      </c>
      <c r="S64" s="98">
        <f t="shared" si="13"/>
        <v>0</v>
      </c>
      <c r="T64" s="150">
        <f t="shared" si="44"/>
        <v>0</v>
      </c>
      <c r="U64" s="150">
        <f t="shared" si="44"/>
        <v>0</v>
      </c>
      <c r="V64" s="99">
        <f t="shared" si="29"/>
        <v>0</v>
      </c>
      <c r="W64" s="105"/>
      <c r="X64" s="171">
        <f t="shared" si="38"/>
        <v>0</v>
      </c>
      <c r="Y64" s="171">
        <f t="shared" si="36"/>
        <v>0</v>
      </c>
      <c r="Z64" s="105"/>
      <c r="AA64" s="105"/>
      <c r="AB64" s="105"/>
      <c r="AC64" s="98">
        <f t="shared" si="17"/>
        <v>0</v>
      </c>
      <c r="AD64" s="98">
        <f t="shared" si="18"/>
        <v>0</v>
      </c>
      <c r="AE64" s="98">
        <f t="shared" si="19"/>
        <v>0</v>
      </c>
      <c r="AF64" s="98">
        <f t="shared" si="20"/>
        <v>0</v>
      </c>
      <c r="AG64" s="98">
        <f t="shared" si="21"/>
        <v>0</v>
      </c>
      <c r="AH64" s="98">
        <f t="shared" si="41"/>
        <v>0</v>
      </c>
      <c r="AI64" s="98">
        <f t="shared" si="41"/>
        <v>0</v>
      </c>
      <c r="AJ64" s="105">
        <f t="shared" si="31"/>
        <v>0</v>
      </c>
      <c r="AK64" s="98">
        <f t="shared" si="26"/>
        <v>0</v>
      </c>
      <c r="AL64" s="98">
        <f t="shared" si="23"/>
        <v>0</v>
      </c>
      <c r="AM64" s="150">
        <f t="shared" si="24"/>
        <v>0</v>
      </c>
      <c r="AN64" s="150">
        <f t="shared" si="24"/>
        <v>0</v>
      </c>
      <c r="AO64" s="105"/>
      <c r="AP64" s="102">
        <f t="shared" si="40"/>
        <v>0</v>
      </c>
      <c r="AQ64" s="330">
        <f t="shared" si="5"/>
        <v>0</v>
      </c>
      <c r="AR64" s="330">
        <f t="shared" si="6"/>
        <v>0</v>
      </c>
    </row>
    <row r="65" spans="1:44" s="18" customFormat="1" ht="24.95" hidden="1" customHeight="1" x14ac:dyDescent="0.2">
      <c r="A65" s="36"/>
      <c r="B65" s="117"/>
      <c r="C65" s="104"/>
      <c r="D65" s="104"/>
      <c r="E65" s="104"/>
      <c r="F65" s="118"/>
      <c r="G65" s="96">
        <f t="shared" si="3"/>
        <v>0</v>
      </c>
      <c r="H65" s="98"/>
      <c r="I65" s="98"/>
      <c r="J65" s="103">
        <f t="shared" si="7"/>
        <v>0</v>
      </c>
      <c r="K65" s="103">
        <f t="shared" si="8"/>
        <v>0</v>
      </c>
      <c r="L65" s="103">
        <f t="shared" si="9"/>
        <v>0</v>
      </c>
      <c r="M65" s="103">
        <f t="shared" si="10"/>
        <v>0</v>
      </c>
      <c r="N65" s="229">
        <f t="shared" si="42"/>
        <v>0</v>
      </c>
      <c r="O65" s="229">
        <f>N65</f>
        <v>0</v>
      </c>
      <c r="P65" s="229">
        <f t="shared" si="43"/>
        <v>0</v>
      </c>
      <c r="Q65" s="98"/>
      <c r="R65" s="98">
        <f t="shared" si="12"/>
        <v>0</v>
      </c>
      <c r="S65" s="98">
        <f t="shared" si="13"/>
        <v>0</v>
      </c>
      <c r="T65" s="150">
        <f t="shared" si="44"/>
        <v>0</v>
      </c>
      <c r="U65" s="150">
        <f t="shared" si="44"/>
        <v>0</v>
      </c>
      <c r="V65" s="99">
        <f t="shared" si="29"/>
        <v>0</v>
      </c>
      <c r="W65" s="105"/>
      <c r="X65" s="171">
        <f t="shared" si="38"/>
        <v>0</v>
      </c>
      <c r="Y65" s="171">
        <f t="shared" si="36"/>
        <v>0</v>
      </c>
      <c r="Z65" s="105"/>
      <c r="AA65" s="105"/>
      <c r="AB65" s="105"/>
      <c r="AC65" s="98">
        <f t="shared" si="17"/>
        <v>0</v>
      </c>
      <c r="AD65" s="98">
        <f t="shared" si="18"/>
        <v>0</v>
      </c>
      <c r="AE65" s="98">
        <f t="shared" si="19"/>
        <v>0</v>
      </c>
      <c r="AF65" s="98">
        <f t="shared" si="20"/>
        <v>0</v>
      </c>
      <c r="AG65" s="98">
        <f t="shared" si="21"/>
        <v>0</v>
      </c>
      <c r="AH65" s="98">
        <f t="shared" si="41"/>
        <v>0</v>
      </c>
      <c r="AI65" s="98">
        <f t="shared" si="41"/>
        <v>0</v>
      </c>
      <c r="AJ65" s="105">
        <f t="shared" si="31"/>
        <v>0</v>
      </c>
      <c r="AK65" s="98">
        <f t="shared" si="26"/>
        <v>0</v>
      </c>
      <c r="AL65" s="98">
        <f t="shared" si="23"/>
        <v>0</v>
      </c>
      <c r="AM65" s="150">
        <f t="shared" si="24"/>
        <v>0</v>
      </c>
      <c r="AN65" s="150">
        <f t="shared" si="24"/>
        <v>0</v>
      </c>
      <c r="AO65" s="105"/>
      <c r="AP65" s="102">
        <f t="shared" si="40"/>
        <v>0</v>
      </c>
      <c r="AQ65" s="330">
        <f t="shared" si="5"/>
        <v>0</v>
      </c>
      <c r="AR65" s="330">
        <f t="shared" si="6"/>
        <v>0</v>
      </c>
    </row>
    <row r="66" spans="1:44" s="18" customFormat="1" ht="24.95" hidden="1" customHeight="1" x14ac:dyDescent="0.2">
      <c r="A66" s="36"/>
      <c r="B66" s="117"/>
      <c r="C66" s="104"/>
      <c r="D66" s="104"/>
      <c r="E66" s="104"/>
      <c r="F66" s="118"/>
      <c r="G66" s="96">
        <f t="shared" si="3"/>
        <v>0</v>
      </c>
      <c r="H66" s="98"/>
      <c r="I66" s="98"/>
      <c r="J66" s="103">
        <f t="shared" si="7"/>
        <v>0</v>
      </c>
      <c r="K66" s="103">
        <f t="shared" si="8"/>
        <v>0</v>
      </c>
      <c r="L66" s="103">
        <f t="shared" si="9"/>
        <v>0</v>
      </c>
      <c r="M66" s="103">
        <f t="shared" si="10"/>
        <v>0</v>
      </c>
      <c r="N66" s="229">
        <f t="shared" si="42"/>
        <v>0</v>
      </c>
      <c r="O66" s="229">
        <f>N66</f>
        <v>0</v>
      </c>
      <c r="P66" s="229">
        <f t="shared" si="43"/>
        <v>0</v>
      </c>
      <c r="Q66" s="98"/>
      <c r="R66" s="98">
        <f t="shared" si="12"/>
        <v>0</v>
      </c>
      <c r="S66" s="98">
        <f t="shared" si="13"/>
        <v>0</v>
      </c>
      <c r="T66" s="150">
        <f t="shared" si="44"/>
        <v>0</v>
      </c>
      <c r="U66" s="150">
        <f t="shared" si="44"/>
        <v>0</v>
      </c>
      <c r="V66" s="99">
        <f t="shared" si="29"/>
        <v>0</v>
      </c>
      <c r="W66" s="105"/>
      <c r="X66" s="171">
        <f t="shared" si="38"/>
        <v>0</v>
      </c>
      <c r="Y66" s="171">
        <f t="shared" si="36"/>
        <v>0</v>
      </c>
      <c r="Z66" s="105"/>
      <c r="AA66" s="105"/>
      <c r="AB66" s="105"/>
      <c r="AC66" s="98">
        <f t="shared" si="17"/>
        <v>0</v>
      </c>
      <c r="AD66" s="98">
        <f t="shared" si="18"/>
        <v>0</v>
      </c>
      <c r="AE66" s="98">
        <f t="shared" si="19"/>
        <v>0</v>
      </c>
      <c r="AF66" s="98">
        <f t="shared" si="20"/>
        <v>0</v>
      </c>
      <c r="AG66" s="98">
        <f t="shared" si="21"/>
        <v>0</v>
      </c>
      <c r="AH66" s="98">
        <f t="shared" si="41"/>
        <v>0</v>
      </c>
      <c r="AI66" s="98">
        <f t="shared" si="41"/>
        <v>0</v>
      </c>
      <c r="AJ66" s="105">
        <f t="shared" si="31"/>
        <v>0</v>
      </c>
      <c r="AK66" s="98">
        <f t="shared" si="26"/>
        <v>0</v>
      </c>
      <c r="AL66" s="98">
        <f t="shared" si="23"/>
        <v>0</v>
      </c>
      <c r="AM66" s="150">
        <f t="shared" si="24"/>
        <v>0</v>
      </c>
      <c r="AN66" s="150">
        <f t="shared" si="24"/>
        <v>0</v>
      </c>
      <c r="AO66" s="105"/>
      <c r="AP66" s="102">
        <f t="shared" si="40"/>
        <v>0</v>
      </c>
      <c r="AQ66" s="330">
        <f t="shared" si="5"/>
        <v>0</v>
      </c>
      <c r="AR66" s="330">
        <f t="shared" si="6"/>
        <v>0</v>
      </c>
    </row>
    <row r="67" spans="1:44" s="18" customFormat="1" ht="24.95" hidden="1" customHeight="1" x14ac:dyDescent="0.2">
      <c r="A67" s="36"/>
      <c r="B67" s="107" t="s">
        <v>159</v>
      </c>
      <c r="C67" s="104"/>
      <c r="D67" s="104" t="s">
        <v>154</v>
      </c>
      <c r="E67" s="104" t="s">
        <v>154</v>
      </c>
      <c r="F67" s="97" t="s">
        <v>0</v>
      </c>
      <c r="G67" s="96">
        <f t="shared" si="3"/>
        <v>55717</v>
      </c>
      <c r="H67" s="98">
        <v>55717</v>
      </c>
      <c r="I67" s="98"/>
      <c r="J67" s="103">
        <f t="shared" si="7"/>
        <v>0</v>
      </c>
      <c r="K67" s="103">
        <f t="shared" si="8"/>
        <v>0</v>
      </c>
      <c r="L67" s="103">
        <f t="shared" si="9"/>
        <v>0</v>
      </c>
      <c r="M67" s="103">
        <f t="shared" si="10"/>
        <v>0</v>
      </c>
      <c r="N67" s="229">
        <f t="shared" si="42"/>
        <v>55717</v>
      </c>
      <c r="O67" s="229">
        <f>N67*77.43%</f>
        <v>43141.673100000007</v>
      </c>
      <c r="P67" s="229">
        <f>O67*77.1%</f>
        <v>33262.229960100005</v>
      </c>
      <c r="Q67" s="98"/>
      <c r="R67" s="98">
        <f t="shared" si="12"/>
        <v>0</v>
      </c>
      <c r="S67" s="98">
        <f t="shared" si="13"/>
        <v>0</v>
      </c>
      <c r="T67" s="150">
        <f t="shared" si="44"/>
        <v>43141.673100000007</v>
      </c>
      <c r="U67" s="150">
        <f t="shared" si="44"/>
        <v>33262.229960100005</v>
      </c>
      <c r="V67" s="99">
        <f t="shared" si="29"/>
        <v>0</v>
      </c>
      <c r="W67" s="105"/>
      <c r="X67" s="171">
        <f t="shared" si="38"/>
        <v>0</v>
      </c>
      <c r="Y67" s="171">
        <f t="shared" si="36"/>
        <v>0</v>
      </c>
      <c r="Z67" s="105"/>
      <c r="AA67" s="105"/>
      <c r="AB67" s="105"/>
      <c r="AC67" s="98">
        <f t="shared" si="17"/>
        <v>0</v>
      </c>
      <c r="AD67" s="98">
        <f t="shared" si="18"/>
        <v>0</v>
      </c>
      <c r="AE67" s="98">
        <f t="shared" si="19"/>
        <v>0</v>
      </c>
      <c r="AF67" s="98">
        <f t="shared" si="20"/>
        <v>0</v>
      </c>
      <c r="AG67" s="98">
        <f t="shared" si="21"/>
        <v>0</v>
      </c>
      <c r="AH67" s="98">
        <f t="shared" si="41"/>
        <v>0</v>
      </c>
      <c r="AI67" s="98">
        <f t="shared" si="41"/>
        <v>0</v>
      </c>
      <c r="AJ67" s="105">
        <f t="shared" si="31"/>
        <v>0</v>
      </c>
      <c r="AK67" s="98">
        <f t="shared" si="26"/>
        <v>0</v>
      </c>
      <c r="AL67" s="98">
        <f t="shared" si="23"/>
        <v>0</v>
      </c>
      <c r="AM67" s="150">
        <f t="shared" si="24"/>
        <v>0</v>
      </c>
      <c r="AN67" s="150">
        <f t="shared" si="24"/>
        <v>0</v>
      </c>
      <c r="AO67" s="105">
        <f>AB67</f>
        <v>0</v>
      </c>
      <c r="AP67" s="102">
        <f t="shared" si="40"/>
        <v>55717</v>
      </c>
      <c r="AQ67" s="330">
        <f t="shared" si="5"/>
        <v>43141.673100000007</v>
      </c>
      <c r="AR67" s="330">
        <f t="shared" si="6"/>
        <v>33262.229960100005</v>
      </c>
    </row>
    <row r="68" spans="1:44" s="179" customFormat="1" ht="24.95" hidden="1" customHeight="1" x14ac:dyDescent="0.2">
      <c r="A68" s="135"/>
      <c r="B68" s="174" t="s">
        <v>160</v>
      </c>
      <c r="C68" s="175"/>
      <c r="D68" s="175"/>
      <c r="E68" s="175"/>
      <c r="F68" s="176" t="s">
        <v>278</v>
      </c>
      <c r="G68" s="99">
        <f t="shared" si="3"/>
        <v>95667702</v>
      </c>
      <c r="H68" s="99">
        <f>H69</f>
        <v>95667702</v>
      </c>
      <c r="I68" s="99">
        <f>I69</f>
        <v>62802124</v>
      </c>
      <c r="J68" s="105">
        <f t="shared" si="7"/>
        <v>13816467.279999999</v>
      </c>
      <c r="K68" s="105">
        <f t="shared" si="8"/>
        <v>76618591.280000001</v>
      </c>
      <c r="L68" s="105">
        <f>L69</f>
        <v>81279548.582399979</v>
      </c>
      <c r="M68" s="105">
        <f t="shared" ref="M68:AO68" si="45">M69</f>
        <v>84757744.473244786</v>
      </c>
      <c r="N68" s="232">
        <f t="shared" si="45"/>
        <v>8683219.7200000044</v>
      </c>
      <c r="O68" s="232">
        <f t="shared" si="45"/>
        <v>6723780.0291960044</v>
      </c>
      <c r="P68" s="232">
        <f t="shared" si="45"/>
        <v>5184626.4025101187</v>
      </c>
      <c r="Q68" s="105">
        <f t="shared" si="45"/>
        <v>10365891</v>
      </c>
      <c r="R68" s="105">
        <f t="shared" si="45"/>
        <v>11195162.279999999</v>
      </c>
      <c r="S68" s="105">
        <f t="shared" si="45"/>
        <v>11878067.179080002</v>
      </c>
      <c r="T68" s="105">
        <f t="shared" si="45"/>
        <v>99198490.891596004</v>
      </c>
      <c r="U68" s="105">
        <f t="shared" si="45"/>
        <v>101820438.0548349</v>
      </c>
      <c r="V68" s="105">
        <f t="shared" si="45"/>
        <v>1403171</v>
      </c>
      <c r="W68" s="105">
        <f t="shared" si="45"/>
        <v>130197</v>
      </c>
      <c r="X68" s="105">
        <f t="shared" si="45"/>
        <v>137097.44099999999</v>
      </c>
      <c r="Y68" s="105">
        <f t="shared" si="45"/>
        <v>144089.41049099999</v>
      </c>
      <c r="Z68" s="105">
        <f t="shared" si="45"/>
        <v>130197</v>
      </c>
      <c r="AA68" s="105">
        <f t="shared" si="45"/>
        <v>1272974</v>
      </c>
      <c r="AB68" s="105">
        <f t="shared" si="45"/>
        <v>111455</v>
      </c>
      <c r="AC68" s="105">
        <f t="shared" si="45"/>
        <v>24520.1</v>
      </c>
      <c r="AD68" s="105">
        <f t="shared" si="45"/>
        <v>135975.1</v>
      </c>
      <c r="AE68" s="105">
        <f t="shared" si="45"/>
        <v>143712.08319</v>
      </c>
      <c r="AF68" s="105">
        <f t="shared" si="45"/>
        <v>148856.97576820201</v>
      </c>
      <c r="AG68" s="105">
        <f t="shared" si="45"/>
        <v>1251118.8999999999</v>
      </c>
      <c r="AH68" s="105">
        <f t="shared" si="45"/>
        <v>1321829.46951</v>
      </c>
      <c r="AI68" s="105">
        <f t="shared" si="45"/>
        <v>1371258.848091</v>
      </c>
      <c r="AJ68" s="105">
        <f t="shared" si="45"/>
        <v>16077</v>
      </c>
      <c r="AK68" s="105">
        <f t="shared" si="45"/>
        <v>16991.781299999999</v>
      </c>
      <c r="AL68" s="105">
        <f t="shared" si="45"/>
        <v>17600.087070540001</v>
      </c>
      <c r="AM68" s="105">
        <f t="shared" si="45"/>
        <v>1482533.334</v>
      </c>
      <c r="AN68" s="105">
        <f t="shared" si="45"/>
        <v>1537715.910929742</v>
      </c>
      <c r="AO68" s="105">
        <f t="shared" si="45"/>
        <v>130197</v>
      </c>
      <c r="AP68" s="178">
        <f t="shared" si="40"/>
        <v>97070873</v>
      </c>
      <c r="AQ68" s="330">
        <f>AQ69</f>
        <v>100681024.225596</v>
      </c>
      <c r="AR68" s="330">
        <f>AR69</f>
        <v>103358153.96576466</v>
      </c>
    </row>
    <row r="69" spans="1:44" s="18" customFormat="1" ht="24.95" hidden="1" customHeight="1" x14ac:dyDescent="0.2">
      <c r="A69" s="36"/>
      <c r="B69" s="93" t="s">
        <v>162</v>
      </c>
      <c r="C69" s="104"/>
      <c r="D69" s="104"/>
      <c r="E69" s="104"/>
      <c r="F69" s="95" t="s">
        <v>247</v>
      </c>
      <c r="G69" s="96">
        <f t="shared" si="3"/>
        <v>95667702</v>
      </c>
      <c r="H69" s="96">
        <f>H73+H75+H78+H79+H80+H84+H81+H83+H85+H87</f>
        <v>95667702</v>
      </c>
      <c r="I69" s="96">
        <f>I73+I75+I78+I79+I80+I84+I81+I83+I85+I87</f>
        <v>62802124</v>
      </c>
      <c r="J69" s="103">
        <f t="shared" si="7"/>
        <v>13816467.279999999</v>
      </c>
      <c r="K69" s="103">
        <f t="shared" si="8"/>
        <v>76618591.280000001</v>
      </c>
      <c r="L69" s="103">
        <f>L73+L75+L78+L79+L81+L83+L85+L87</f>
        <v>81279548.582399979</v>
      </c>
      <c r="M69" s="103">
        <f t="shared" ref="M69:AO69" si="46">M73+M75+M78+M79+M81+M83+M85+M87</f>
        <v>84757744.473244786</v>
      </c>
      <c r="N69" s="230">
        <f t="shared" si="46"/>
        <v>8683219.7200000044</v>
      </c>
      <c r="O69" s="230">
        <f t="shared" si="46"/>
        <v>6723780.0291960044</v>
      </c>
      <c r="P69" s="230">
        <f t="shared" si="46"/>
        <v>5184626.4025101187</v>
      </c>
      <c r="Q69" s="103">
        <f t="shared" si="46"/>
        <v>10365891</v>
      </c>
      <c r="R69" s="103">
        <f t="shared" si="46"/>
        <v>11195162.279999999</v>
      </c>
      <c r="S69" s="103">
        <f t="shared" si="46"/>
        <v>11878067.179080002</v>
      </c>
      <c r="T69" s="103">
        <f t="shared" si="46"/>
        <v>99198490.891596004</v>
      </c>
      <c r="U69" s="103">
        <f t="shared" si="46"/>
        <v>101820438.0548349</v>
      </c>
      <c r="V69" s="103">
        <f t="shared" si="46"/>
        <v>1403171</v>
      </c>
      <c r="W69" s="103">
        <f t="shared" si="46"/>
        <v>130197</v>
      </c>
      <c r="X69" s="103">
        <f t="shared" si="46"/>
        <v>137097.44099999999</v>
      </c>
      <c r="Y69" s="103">
        <f t="shared" si="46"/>
        <v>144089.41049099999</v>
      </c>
      <c r="Z69" s="103">
        <f t="shared" si="46"/>
        <v>130197</v>
      </c>
      <c r="AA69" s="103">
        <f t="shared" si="46"/>
        <v>1272974</v>
      </c>
      <c r="AB69" s="103">
        <f t="shared" si="46"/>
        <v>111455</v>
      </c>
      <c r="AC69" s="103">
        <f t="shared" si="46"/>
        <v>24520.1</v>
      </c>
      <c r="AD69" s="103">
        <f t="shared" si="46"/>
        <v>135975.1</v>
      </c>
      <c r="AE69" s="103">
        <f t="shared" si="46"/>
        <v>143712.08319</v>
      </c>
      <c r="AF69" s="103">
        <f t="shared" si="46"/>
        <v>148856.97576820201</v>
      </c>
      <c r="AG69" s="103">
        <f t="shared" si="46"/>
        <v>1251118.8999999999</v>
      </c>
      <c r="AH69" s="103">
        <f t="shared" si="46"/>
        <v>1321829.46951</v>
      </c>
      <c r="AI69" s="103">
        <f t="shared" si="46"/>
        <v>1371258.848091</v>
      </c>
      <c r="AJ69" s="103">
        <f t="shared" si="46"/>
        <v>16077</v>
      </c>
      <c r="AK69" s="103">
        <f t="shared" si="46"/>
        <v>16991.781299999999</v>
      </c>
      <c r="AL69" s="103">
        <f t="shared" si="46"/>
        <v>17600.087070540001</v>
      </c>
      <c r="AM69" s="103">
        <f t="shared" si="46"/>
        <v>1482533.334</v>
      </c>
      <c r="AN69" s="103">
        <f t="shared" si="46"/>
        <v>1537715.910929742</v>
      </c>
      <c r="AO69" s="103">
        <f t="shared" si="46"/>
        <v>130197</v>
      </c>
      <c r="AP69" s="96">
        <f>AP73+AP75+AP78+AP79+AP80+AP84+AP81+AP83+AP85+AP87</f>
        <v>97070873</v>
      </c>
      <c r="AQ69" s="241">
        <f>AQ73+AQ75+AQ78+AQ79+AQ80+AQ84+AQ81+AQ83+AQ85+AQ87</f>
        <v>100681024.225596</v>
      </c>
      <c r="AR69" s="241">
        <f>AR73+AR75+AR78+AR79+AR80+AR84+AR81+AR83+AR85+AR87</f>
        <v>103358153.96576466</v>
      </c>
    </row>
    <row r="70" spans="1:44" s="18" customFormat="1" ht="24.95" hidden="1" customHeight="1" x14ac:dyDescent="0.2">
      <c r="A70" s="36"/>
      <c r="B70" s="93"/>
      <c r="C70" s="104"/>
      <c r="D70" s="104"/>
      <c r="E70" s="104"/>
      <c r="F70" s="97" t="s">
        <v>248</v>
      </c>
      <c r="G70" s="96">
        <f t="shared" si="3"/>
        <v>36337500</v>
      </c>
      <c r="H70" s="119">
        <f>H76</f>
        <v>36337500</v>
      </c>
      <c r="I70" s="119">
        <f>I76</f>
        <v>29784836</v>
      </c>
      <c r="J70" s="103">
        <f t="shared" si="7"/>
        <v>6552663.9199999999</v>
      </c>
      <c r="K70" s="103">
        <f t="shared" si="8"/>
        <v>36337499.920000002</v>
      </c>
      <c r="L70" s="103">
        <v>41063400</v>
      </c>
      <c r="M70" s="103">
        <v>43802100</v>
      </c>
      <c r="N70" s="229">
        <f>H70-K70-Q70</f>
        <v>7.9999998211860657E-2</v>
      </c>
      <c r="O70" s="229">
        <f>N70</f>
        <v>7.9999998211860657E-2</v>
      </c>
      <c r="P70" s="229">
        <f>O70</f>
        <v>7.9999998211860657E-2</v>
      </c>
      <c r="Q70" s="98"/>
      <c r="R70" s="98">
        <f t="shared" si="12"/>
        <v>0</v>
      </c>
      <c r="S70" s="98">
        <f t="shared" si="13"/>
        <v>0</v>
      </c>
      <c r="T70" s="150">
        <f>L70+O70+R70</f>
        <v>41063400.079999998</v>
      </c>
      <c r="U70" s="150">
        <f>M70+P70+S70</f>
        <v>43802100.079999998</v>
      </c>
      <c r="V70" s="108">
        <f t="shared" si="29"/>
        <v>0</v>
      </c>
      <c r="W70" s="103">
        <f>W76</f>
        <v>0</v>
      </c>
      <c r="X70" s="171">
        <f>W70</f>
        <v>0</v>
      </c>
      <c r="Y70" s="171">
        <f>X70</f>
        <v>0</v>
      </c>
      <c r="Z70" s="103"/>
      <c r="AA70" s="103">
        <f>AA76</f>
        <v>0</v>
      </c>
      <c r="AB70" s="103">
        <f>AB76</f>
        <v>0</v>
      </c>
      <c r="AC70" s="98">
        <f t="shared" si="17"/>
        <v>0</v>
      </c>
      <c r="AD70" s="98">
        <f t="shared" si="18"/>
        <v>0</v>
      </c>
      <c r="AE70" s="98">
        <f t="shared" si="19"/>
        <v>0</v>
      </c>
      <c r="AF70" s="98">
        <f t="shared" si="20"/>
        <v>0</v>
      </c>
      <c r="AG70" s="98">
        <f t="shared" si="21"/>
        <v>0</v>
      </c>
      <c r="AH70" s="98">
        <f>AG70</f>
        <v>0</v>
      </c>
      <c r="AI70" s="98">
        <f>AH70</f>
        <v>0</v>
      </c>
      <c r="AJ70" s="103">
        <f>AJ76</f>
        <v>0</v>
      </c>
      <c r="AK70" s="98">
        <f t="shared" si="26"/>
        <v>0</v>
      </c>
      <c r="AL70" s="98">
        <f t="shared" si="23"/>
        <v>0</v>
      </c>
      <c r="AM70" s="150">
        <f t="shared" si="24"/>
        <v>0</v>
      </c>
      <c r="AN70" s="150">
        <f t="shared" si="24"/>
        <v>0</v>
      </c>
      <c r="AO70" s="103">
        <f>AO76</f>
        <v>0</v>
      </c>
      <c r="AP70" s="102">
        <f>G70+V70</f>
        <v>36337500</v>
      </c>
      <c r="AQ70" s="330">
        <f t="shared" si="5"/>
        <v>41063400.079999998</v>
      </c>
      <c r="AR70" s="330">
        <f t="shared" si="6"/>
        <v>43802100.079999998</v>
      </c>
    </row>
    <row r="71" spans="1:44" s="18" customFormat="1" ht="24.95" hidden="1" customHeight="1" x14ac:dyDescent="0.2">
      <c r="A71" s="36"/>
      <c r="B71" s="93"/>
      <c r="C71" s="104"/>
      <c r="D71" s="104"/>
      <c r="E71" s="104"/>
      <c r="F71" s="97" t="s">
        <v>163</v>
      </c>
      <c r="G71" s="96">
        <f t="shared" si="3"/>
        <v>938740</v>
      </c>
      <c r="H71" s="96">
        <f>H86</f>
        <v>938740</v>
      </c>
      <c r="I71" s="96">
        <f>I86</f>
        <v>769459</v>
      </c>
      <c r="J71" s="103">
        <f t="shared" si="7"/>
        <v>169280.98</v>
      </c>
      <c r="K71" s="103">
        <f t="shared" si="8"/>
        <v>938739.98</v>
      </c>
      <c r="L71" s="103">
        <f>L86</f>
        <v>988490</v>
      </c>
      <c r="M71" s="103">
        <f t="shared" ref="M71:AR71" si="47">M86</f>
        <v>1038900</v>
      </c>
      <c r="N71" s="230">
        <f t="shared" si="47"/>
        <v>2.0000000018626451E-2</v>
      </c>
      <c r="O71" s="230">
        <f t="shared" si="47"/>
        <v>7.922000007377937E-3</v>
      </c>
      <c r="P71" s="230">
        <f t="shared" si="47"/>
        <v>7.922000007377937E-3</v>
      </c>
      <c r="Q71" s="103">
        <f t="shared" si="47"/>
        <v>0</v>
      </c>
      <c r="R71" s="103">
        <f t="shared" si="47"/>
        <v>0</v>
      </c>
      <c r="S71" s="103">
        <f t="shared" si="47"/>
        <v>0</v>
      </c>
      <c r="T71" s="103">
        <f t="shared" si="47"/>
        <v>988490.00792200002</v>
      </c>
      <c r="U71" s="103">
        <f t="shared" si="47"/>
        <v>1038900.007922</v>
      </c>
      <c r="V71" s="103">
        <f t="shared" si="47"/>
        <v>0</v>
      </c>
      <c r="W71" s="103">
        <f t="shared" si="47"/>
        <v>0</v>
      </c>
      <c r="X71" s="103">
        <f t="shared" si="47"/>
        <v>0</v>
      </c>
      <c r="Y71" s="103">
        <f t="shared" si="47"/>
        <v>0</v>
      </c>
      <c r="Z71" s="103">
        <f t="shared" si="47"/>
        <v>0</v>
      </c>
      <c r="AA71" s="103">
        <f t="shared" si="47"/>
        <v>0</v>
      </c>
      <c r="AB71" s="103">
        <f t="shared" si="47"/>
        <v>0</v>
      </c>
      <c r="AC71" s="103">
        <f t="shared" si="47"/>
        <v>0</v>
      </c>
      <c r="AD71" s="103">
        <f t="shared" si="47"/>
        <v>0</v>
      </c>
      <c r="AE71" s="103">
        <f t="shared" si="47"/>
        <v>0</v>
      </c>
      <c r="AF71" s="103">
        <f t="shared" si="47"/>
        <v>0</v>
      </c>
      <c r="AG71" s="103">
        <f t="shared" si="47"/>
        <v>0</v>
      </c>
      <c r="AH71" s="103">
        <f t="shared" si="47"/>
        <v>0</v>
      </c>
      <c r="AI71" s="103">
        <f t="shared" si="47"/>
        <v>0</v>
      </c>
      <c r="AJ71" s="103">
        <f t="shared" si="47"/>
        <v>0</v>
      </c>
      <c r="AK71" s="103">
        <f t="shared" si="47"/>
        <v>0</v>
      </c>
      <c r="AL71" s="103">
        <f t="shared" si="47"/>
        <v>0</v>
      </c>
      <c r="AM71" s="103">
        <f t="shared" si="47"/>
        <v>0</v>
      </c>
      <c r="AN71" s="103">
        <f t="shared" si="47"/>
        <v>0</v>
      </c>
      <c r="AO71" s="103">
        <f t="shared" si="47"/>
        <v>0</v>
      </c>
      <c r="AP71" s="103">
        <f t="shared" si="47"/>
        <v>938740</v>
      </c>
      <c r="AQ71" s="243">
        <f t="shared" si="47"/>
        <v>988490.00792200002</v>
      </c>
      <c r="AR71" s="243">
        <f t="shared" si="47"/>
        <v>1038900.007922</v>
      </c>
    </row>
    <row r="72" spans="1:44" s="18" customFormat="1" ht="24.95" hidden="1" customHeight="1" x14ac:dyDescent="0.2">
      <c r="A72" s="36"/>
      <c r="B72" s="93"/>
      <c r="C72" s="104"/>
      <c r="D72" s="104"/>
      <c r="E72" s="104"/>
      <c r="F72" s="97" t="s">
        <v>164</v>
      </c>
      <c r="G72" s="96">
        <f t="shared" si="3"/>
        <v>247682</v>
      </c>
      <c r="H72" s="96">
        <f>H77+H74</f>
        <v>247682</v>
      </c>
      <c r="I72" s="96">
        <f>I77+I74</f>
        <v>203019</v>
      </c>
      <c r="J72" s="103">
        <f>I72*22%-1</f>
        <v>44663.18</v>
      </c>
      <c r="K72" s="103">
        <f t="shared" si="8"/>
        <v>247682.18</v>
      </c>
      <c r="L72" s="103">
        <f>L74+L77</f>
        <v>260811.28254000001</v>
      </c>
      <c r="M72" s="103">
        <f>M74+M77</f>
        <v>274109.65794954001</v>
      </c>
      <c r="N72" s="230">
        <f t="shared" ref="N72:AR72" si="48">N74+N77</f>
        <v>0.81999999998515705</v>
      </c>
      <c r="O72" s="230">
        <f t="shared" si="48"/>
        <v>0.81999999998515705</v>
      </c>
      <c r="P72" s="230">
        <f t="shared" si="48"/>
        <v>0.81999999998515705</v>
      </c>
      <c r="Q72" s="103">
        <f t="shared" si="48"/>
        <v>0</v>
      </c>
      <c r="R72" s="103">
        <f t="shared" si="48"/>
        <v>0</v>
      </c>
      <c r="S72" s="103">
        <f t="shared" si="48"/>
        <v>0</v>
      </c>
      <c r="T72" s="103">
        <f t="shared" si="48"/>
        <v>260812.10253999999</v>
      </c>
      <c r="U72" s="103">
        <f t="shared" si="48"/>
        <v>274110.47794954001</v>
      </c>
      <c r="V72" s="103">
        <f t="shared" si="48"/>
        <v>130197</v>
      </c>
      <c r="W72" s="103">
        <f t="shared" si="48"/>
        <v>130197</v>
      </c>
      <c r="X72" s="103">
        <f t="shared" si="48"/>
        <v>137097.44099999999</v>
      </c>
      <c r="Y72" s="103">
        <f t="shared" si="48"/>
        <v>144089.41049099999</v>
      </c>
      <c r="Z72" s="103">
        <f t="shared" si="48"/>
        <v>130197</v>
      </c>
      <c r="AA72" s="103">
        <f t="shared" si="48"/>
        <v>0</v>
      </c>
      <c r="AB72" s="103">
        <f t="shared" si="48"/>
        <v>0</v>
      </c>
      <c r="AC72" s="103">
        <f t="shared" si="48"/>
        <v>0</v>
      </c>
      <c r="AD72" s="103">
        <f t="shared" si="48"/>
        <v>0</v>
      </c>
      <c r="AE72" s="103">
        <f t="shared" si="48"/>
        <v>0</v>
      </c>
      <c r="AF72" s="103">
        <f t="shared" si="48"/>
        <v>0</v>
      </c>
      <c r="AG72" s="103">
        <f t="shared" si="48"/>
        <v>130197</v>
      </c>
      <c r="AH72" s="103">
        <f t="shared" si="48"/>
        <v>137097.44099999999</v>
      </c>
      <c r="AI72" s="103">
        <f t="shared" si="48"/>
        <v>144089.41049099999</v>
      </c>
      <c r="AJ72" s="103">
        <f t="shared" si="48"/>
        <v>0</v>
      </c>
      <c r="AK72" s="103">
        <f t="shared" si="48"/>
        <v>0</v>
      </c>
      <c r="AL72" s="103">
        <f t="shared" si="48"/>
        <v>0</v>
      </c>
      <c r="AM72" s="103">
        <f t="shared" si="48"/>
        <v>137097.44099999999</v>
      </c>
      <c r="AN72" s="103">
        <f t="shared" si="48"/>
        <v>144089.41049099999</v>
      </c>
      <c r="AO72" s="103">
        <f t="shared" si="48"/>
        <v>130197</v>
      </c>
      <c r="AP72" s="103">
        <f t="shared" si="48"/>
        <v>377879</v>
      </c>
      <c r="AQ72" s="243">
        <f t="shared" si="48"/>
        <v>397909.54353999998</v>
      </c>
      <c r="AR72" s="243">
        <f t="shared" si="48"/>
        <v>418199.88844053994</v>
      </c>
    </row>
    <row r="73" spans="1:44" s="18" customFormat="1" ht="24.95" hidden="1" customHeight="1" x14ac:dyDescent="0.2">
      <c r="A73" s="36"/>
      <c r="B73" s="107" t="s">
        <v>165</v>
      </c>
      <c r="C73" s="104"/>
      <c r="D73" s="114" t="s">
        <v>166</v>
      </c>
      <c r="E73" s="114" t="s">
        <v>167</v>
      </c>
      <c r="F73" s="97" t="s">
        <v>168</v>
      </c>
      <c r="G73" s="96">
        <f t="shared" si="3"/>
        <v>26779007</v>
      </c>
      <c r="H73" s="98">
        <v>26779007</v>
      </c>
      <c r="I73" s="98">
        <v>15796970</v>
      </c>
      <c r="J73" s="103">
        <f t="shared" si="7"/>
        <v>3475333.4</v>
      </c>
      <c r="K73" s="103">
        <f t="shared" si="8"/>
        <v>19272303.399999999</v>
      </c>
      <c r="L73" s="103">
        <f t="shared" si="9"/>
        <v>20814087.671999998</v>
      </c>
      <c r="M73" s="103">
        <f t="shared" si="10"/>
        <v>22416772.422743998</v>
      </c>
      <c r="N73" s="229">
        <f t="shared" ref="N73:N89" si="49">H73-K73-Q73</f>
        <v>2586159.6000000015</v>
      </c>
      <c r="O73" s="229">
        <f>N73*77.43%</f>
        <v>2002463.3782800015</v>
      </c>
      <c r="P73" s="229">
        <f>O73*77.1%</f>
        <v>1543899.2646538808</v>
      </c>
      <c r="Q73" s="98">
        <v>4920544</v>
      </c>
      <c r="R73" s="98">
        <f t="shared" si="12"/>
        <v>5314187.5200000005</v>
      </c>
      <c r="S73" s="98">
        <f t="shared" si="13"/>
        <v>5638352.9587200005</v>
      </c>
      <c r="T73" s="150">
        <f t="shared" ref="T73:T89" si="50">L73+O73+R73</f>
        <v>28130738.570280001</v>
      </c>
      <c r="U73" s="150">
        <f t="shared" ref="U73:U89" si="51">M73+P73+S73</f>
        <v>29599024.646117881</v>
      </c>
      <c r="V73" s="108">
        <f t="shared" si="29"/>
        <v>1017206</v>
      </c>
      <c r="W73" s="103">
        <v>17206</v>
      </c>
      <c r="X73" s="171">
        <f>X74</f>
        <v>18117.917999999998</v>
      </c>
      <c r="Y73" s="171">
        <f>Y74</f>
        <v>19041.931817999997</v>
      </c>
      <c r="Z73" s="103">
        <v>17206</v>
      </c>
      <c r="AA73" s="103">
        <v>1000000</v>
      </c>
      <c r="AB73" s="103"/>
      <c r="AC73" s="98">
        <f t="shared" si="17"/>
        <v>0</v>
      </c>
      <c r="AD73" s="98">
        <f t="shared" si="18"/>
        <v>0</v>
      </c>
      <c r="AE73" s="98">
        <f t="shared" si="19"/>
        <v>0</v>
      </c>
      <c r="AF73" s="98">
        <f t="shared" si="20"/>
        <v>0</v>
      </c>
      <c r="AG73" s="98">
        <f t="shared" si="21"/>
        <v>1017206</v>
      </c>
      <c r="AH73" s="98">
        <f>1000000*1.0569+AH74+74</f>
        <v>1075091.9180000001</v>
      </c>
      <c r="AI73" s="98">
        <f>1056900*1.0358+AI74+290</f>
        <v>1114068.9518180001</v>
      </c>
      <c r="AJ73" s="103"/>
      <c r="AK73" s="98">
        <f t="shared" si="26"/>
        <v>0</v>
      </c>
      <c r="AL73" s="98">
        <f t="shared" si="23"/>
        <v>0</v>
      </c>
      <c r="AM73" s="150">
        <f t="shared" si="24"/>
        <v>1075091.9180000001</v>
      </c>
      <c r="AN73" s="150">
        <f t="shared" si="24"/>
        <v>1114068.9518180001</v>
      </c>
      <c r="AO73" s="103">
        <v>17206</v>
      </c>
      <c r="AP73" s="102">
        <f t="shared" ref="AP73:AP87" si="52">G73+V73</f>
        <v>27796213</v>
      </c>
      <c r="AQ73" s="330">
        <f t="shared" si="5"/>
        <v>29205830.488280002</v>
      </c>
      <c r="AR73" s="330">
        <f t="shared" si="6"/>
        <v>30713093.597935881</v>
      </c>
    </row>
    <row r="74" spans="1:44" s="18" customFormat="1" ht="24.95" hidden="1" customHeight="1" x14ac:dyDescent="0.2">
      <c r="A74" s="36"/>
      <c r="B74" s="107"/>
      <c r="C74" s="104"/>
      <c r="D74" s="114"/>
      <c r="E74" s="114"/>
      <c r="F74" s="97" t="s">
        <v>164</v>
      </c>
      <c r="G74" s="96">
        <f t="shared" si="3"/>
        <v>34412</v>
      </c>
      <c r="H74" s="120">
        <v>34412</v>
      </c>
      <c r="I74" s="98">
        <v>28207</v>
      </c>
      <c r="J74" s="103">
        <f>I74*22%-1</f>
        <v>6204.54</v>
      </c>
      <c r="K74" s="103">
        <f t="shared" si="8"/>
        <v>34411.54</v>
      </c>
      <c r="L74" s="103">
        <f>K74*1.053+3</f>
        <v>36238.351620000001</v>
      </c>
      <c r="M74" s="103">
        <f>L74*1.051-3</f>
        <v>38083.507552620002</v>
      </c>
      <c r="N74" s="229">
        <f t="shared" si="49"/>
        <v>0.45999999999912689</v>
      </c>
      <c r="O74" s="229">
        <f>N74</f>
        <v>0.45999999999912689</v>
      </c>
      <c r="P74" s="229">
        <f>O74</f>
        <v>0.45999999999912689</v>
      </c>
      <c r="Q74" s="98"/>
      <c r="R74" s="98">
        <f t="shared" si="12"/>
        <v>0</v>
      </c>
      <c r="S74" s="98">
        <f t="shared" si="13"/>
        <v>0</v>
      </c>
      <c r="T74" s="150">
        <f t="shared" si="50"/>
        <v>36238.81162</v>
      </c>
      <c r="U74" s="150">
        <f t="shared" si="51"/>
        <v>38083.967552620001</v>
      </c>
      <c r="V74" s="108">
        <f t="shared" si="29"/>
        <v>17206</v>
      </c>
      <c r="W74" s="103">
        <v>17206</v>
      </c>
      <c r="X74" s="171">
        <f>W74*1.053</f>
        <v>18117.917999999998</v>
      </c>
      <c r="Y74" s="171">
        <f>X74*1.051</f>
        <v>19041.931817999997</v>
      </c>
      <c r="Z74" s="103">
        <v>17206</v>
      </c>
      <c r="AA74" s="103"/>
      <c r="AB74" s="103"/>
      <c r="AC74" s="98">
        <f t="shared" si="17"/>
        <v>0</v>
      </c>
      <c r="AD74" s="98">
        <f t="shared" si="18"/>
        <v>0</v>
      </c>
      <c r="AE74" s="98">
        <f t="shared" si="19"/>
        <v>0</v>
      </c>
      <c r="AF74" s="98">
        <f t="shared" si="20"/>
        <v>0</v>
      </c>
      <c r="AG74" s="98">
        <f t="shared" si="21"/>
        <v>17206</v>
      </c>
      <c r="AH74" s="98">
        <f>AG74*1.053</f>
        <v>18117.917999999998</v>
      </c>
      <c r="AI74" s="98">
        <f>AH74*1.051</f>
        <v>19041.931817999997</v>
      </c>
      <c r="AJ74" s="103"/>
      <c r="AK74" s="98">
        <f t="shared" si="26"/>
        <v>0</v>
      </c>
      <c r="AL74" s="98">
        <f t="shared" si="23"/>
        <v>0</v>
      </c>
      <c r="AM74" s="150">
        <f t="shared" si="24"/>
        <v>18117.917999999998</v>
      </c>
      <c r="AN74" s="150">
        <f t="shared" si="24"/>
        <v>19041.931817999997</v>
      </c>
      <c r="AO74" s="103">
        <v>17206</v>
      </c>
      <c r="AP74" s="102">
        <f t="shared" si="52"/>
        <v>51618</v>
      </c>
      <c r="AQ74" s="330">
        <f t="shared" si="5"/>
        <v>54356.729619999998</v>
      </c>
      <c r="AR74" s="330">
        <f t="shared" si="6"/>
        <v>57125.899370619998</v>
      </c>
    </row>
    <row r="75" spans="1:44" s="18" customFormat="1" ht="24.95" hidden="1" customHeight="1" x14ac:dyDescent="0.2">
      <c r="A75" s="36"/>
      <c r="B75" s="112" t="s">
        <v>169</v>
      </c>
      <c r="C75" s="114"/>
      <c r="D75" s="114" t="s">
        <v>58</v>
      </c>
      <c r="E75" s="114" t="s">
        <v>170</v>
      </c>
      <c r="F75" s="97" t="s">
        <v>171</v>
      </c>
      <c r="G75" s="96">
        <f t="shared" si="3"/>
        <v>56183679</v>
      </c>
      <c r="H75" s="98">
        <f>56183679</f>
        <v>56183679</v>
      </c>
      <c r="I75" s="98">
        <v>38804465</v>
      </c>
      <c r="J75" s="103">
        <f t="shared" si="7"/>
        <v>8536982.3000000007</v>
      </c>
      <c r="K75" s="103">
        <f t="shared" si="8"/>
        <v>47341447.299999997</v>
      </c>
      <c r="L75" s="103">
        <f>(K75-1359750)*1.08</f>
        <v>49660233.083999999</v>
      </c>
      <c r="M75" s="103">
        <f>(L75-2581550)*1.077</f>
        <v>50703741.681467995</v>
      </c>
      <c r="N75" s="229">
        <f t="shared" si="49"/>
        <v>4196379.700000003</v>
      </c>
      <c r="O75" s="229">
        <f>N75*77.43%+363</f>
        <v>3249619.8017100026</v>
      </c>
      <c r="P75" s="229">
        <f>O75*77.1%+592</f>
        <v>2506048.8671184117</v>
      </c>
      <c r="Q75" s="103">
        <v>4645852</v>
      </c>
      <c r="R75" s="98">
        <f t="shared" si="12"/>
        <v>5017520.16</v>
      </c>
      <c r="S75" s="98">
        <f t="shared" si="13"/>
        <v>5323588.8897599997</v>
      </c>
      <c r="T75" s="150">
        <f t="shared" si="50"/>
        <v>57927373.045709997</v>
      </c>
      <c r="U75" s="150">
        <f t="shared" si="51"/>
        <v>58533379.438346408</v>
      </c>
      <c r="V75" s="108">
        <f t="shared" si="29"/>
        <v>181995</v>
      </c>
      <c r="W75" s="103">
        <v>112991</v>
      </c>
      <c r="X75" s="171">
        <f>X77</f>
        <v>118979.52299999999</v>
      </c>
      <c r="Y75" s="171">
        <f>Y77</f>
        <v>125047.47867299998</v>
      </c>
      <c r="Z75" s="103">
        <v>112991</v>
      </c>
      <c r="AA75" s="103">
        <v>69004</v>
      </c>
      <c r="AB75" s="103"/>
      <c r="AC75" s="98">
        <f t="shared" si="17"/>
        <v>0</v>
      </c>
      <c r="AD75" s="98">
        <f t="shared" si="18"/>
        <v>0</v>
      </c>
      <c r="AE75" s="98">
        <f t="shared" si="19"/>
        <v>0</v>
      </c>
      <c r="AF75" s="98">
        <f t="shared" si="20"/>
        <v>0</v>
      </c>
      <c r="AG75" s="98">
        <f t="shared" si="21"/>
        <v>181995</v>
      </c>
      <c r="AH75" s="98">
        <f>72886+AH77</f>
        <v>191865.52299999999</v>
      </c>
      <c r="AI75" s="98">
        <f>75306+AI77</f>
        <v>200353.47867299998</v>
      </c>
      <c r="AJ75" s="103"/>
      <c r="AK75" s="98">
        <f t="shared" si="26"/>
        <v>0</v>
      </c>
      <c r="AL75" s="98">
        <f t="shared" si="23"/>
        <v>0</v>
      </c>
      <c r="AM75" s="150">
        <f t="shared" si="24"/>
        <v>191865.52299999999</v>
      </c>
      <c r="AN75" s="150">
        <f t="shared" si="24"/>
        <v>200353.47867299998</v>
      </c>
      <c r="AO75" s="103">
        <v>112991</v>
      </c>
      <c r="AP75" s="102">
        <f t="shared" si="52"/>
        <v>56365674</v>
      </c>
      <c r="AQ75" s="330">
        <f t="shared" si="5"/>
        <v>58119238.568709999</v>
      </c>
      <c r="AR75" s="330">
        <f t="shared" si="6"/>
        <v>58733732.917019412</v>
      </c>
    </row>
    <row r="76" spans="1:44" s="18" customFormat="1" ht="24.95" hidden="1" customHeight="1" x14ac:dyDescent="0.2">
      <c r="A76" s="36"/>
      <c r="B76" s="112"/>
      <c r="C76" s="114"/>
      <c r="D76" s="114"/>
      <c r="E76" s="114"/>
      <c r="F76" s="97" t="s">
        <v>249</v>
      </c>
      <c r="G76" s="96">
        <f t="shared" si="3"/>
        <v>36337500</v>
      </c>
      <c r="H76" s="121">
        <v>36337500</v>
      </c>
      <c r="I76" s="103">
        <v>29784836</v>
      </c>
      <c r="J76" s="103">
        <f t="shared" si="7"/>
        <v>6552663.9199999999</v>
      </c>
      <c r="K76" s="103">
        <f t="shared" si="8"/>
        <v>36337499.920000002</v>
      </c>
      <c r="L76" s="103">
        <v>41063400</v>
      </c>
      <c r="M76" s="103">
        <v>43802100</v>
      </c>
      <c r="N76" s="229">
        <f t="shared" si="49"/>
        <v>7.9999998211860657E-2</v>
      </c>
      <c r="O76" s="229">
        <f>N76</f>
        <v>7.9999998211860657E-2</v>
      </c>
      <c r="P76" s="229">
        <f>O76</f>
        <v>7.9999998211860657E-2</v>
      </c>
      <c r="Q76" s="98"/>
      <c r="R76" s="98">
        <f t="shared" si="12"/>
        <v>0</v>
      </c>
      <c r="S76" s="98">
        <f t="shared" si="13"/>
        <v>0</v>
      </c>
      <c r="T76" s="150">
        <f t="shared" si="50"/>
        <v>41063400.079999998</v>
      </c>
      <c r="U76" s="150">
        <f t="shared" si="51"/>
        <v>43802100.079999998</v>
      </c>
      <c r="V76" s="108">
        <f t="shared" si="29"/>
        <v>0</v>
      </c>
      <c r="W76" s="103"/>
      <c r="X76" s="171">
        <f>W76</f>
        <v>0</v>
      </c>
      <c r="Y76" s="171">
        <f>X76</f>
        <v>0</v>
      </c>
      <c r="Z76" s="103"/>
      <c r="AA76" s="103"/>
      <c r="AB76" s="103"/>
      <c r="AC76" s="98">
        <f t="shared" si="17"/>
        <v>0</v>
      </c>
      <c r="AD76" s="98">
        <f t="shared" si="18"/>
        <v>0</v>
      </c>
      <c r="AE76" s="98">
        <f t="shared" si="19"/>
        <v>0</v>
      </c>
      <c r="AF76" s="98">
        <f t="shared" si="20"/>
        <v>0</v>
      </c>
      <c r="AG76" s="98">
        <f t="shared" si="21"/>
        <v>0</v>
      </c>
      <c r="AH76" s="98">
        <f>AG76</f>
        <v>0</v>
      </c>
      <c r="AI76" s="98">
        <f>AH76</f>
        <v>0</v>
      </c>
      <c r="AJ76" s="103"/>
      <c r="AK76" s="98">
        <f t="shared" si="26"/>
        <v>0</v>
      </c>
      <c r="AL76" s="98">
        <f t="shared" si="23"/>
        <v>0</v>
      </c>
      <c r="AM76" s="150">
        <f t="shared" si="24"/>
        <v>0</v>
      </c>
      <c r="AN76" s="150">
        <f t="shared" si="24"/>
        <v>0</v>
      </c>
      <c r="AO76" s="103"/>
      <c r="AP76" s="102">
        <f t="shared" si="52"/>
        <v>36337500</v>
      </c>
      <c r="AQ76" s="330">
        <f t="shared" si="5"/>
        <v>41063400.079999998</v>
      </c>
      <c r="AR76" s="330">
        <f t="shared" si="6"/>
        <v>43802100.079999998</v>
      </c>
    </row>
    <row r="77" spans="1:44" s="18" customFormat="1" ht="24.95" hidden="1" customHeight="1" x14ac:dyDescent="0.2">
      <c r="A77" s="36"/>
      <c r="B77" s="112"/>
      <c r="C77" s="114"/>
      <c r="D77" s="114"/>
      <c r="E77" s="114"/>
      <c r="F77" s="97" t="s">
        <v>164</v>
      </c>
      <c r="G77" s="96">
        <f t="shared" si="3"/>
        <v>213270</v>
      </c>
      <c r="H77" s="120">
        <v>213270</v>
      </c>
      <c r="I77" s="98">
        <v>174812</v>
      </c>
      <c r="J77" s="103">
        <f>I77*22%-1</f>
        <v>38457.64</v>
      </c>
      <c r="K77" s="103">
        <f t="shared" si="8"/>
        <v>213269.64</v>
      </c>
      <c r="L77" s="103">
        <f>K77*1.053</f>
        <v>224572.93092000001</v>
      </c>
      <c r="M77" s="103">
        <f>L77*1.051</f>
        <v>236026.15039692001</v>
      </c>
      <c r="N77" s="229">
        <f t="shared" si="49"/>
        <v>0.35999999998603016</v>
      </c>
      <c r="O77" s="229">
        <f>N77</f>
        <v>0.35999999998603016</v>
      </c>
      <c r="P77" s="229">
        <f>O77</f>
        <v>0.35999999998603016</v>
      </c>
      <c r="Q77" s="98"/>
      <c r="R77" s="98">
        <f t="shared" si="12"/>
        <v>0</v>
      </c>
      <c r="S77" s="98">
        <f t="shared" si="13"/>
        <v>0</v>
      </c>
      <c r="T77" s="150">
        <f t="shared" si="50"/>
        <v>224573.29092</v>
      </c>
      <c r="U77" s="150">
        <f t="shared" si="51"/>
        <v>236026.51039692</v>
      </c>
      <c r="V77" s="108">
        <f>AA77+W77</f>
        <v>112991</v>
      </c>
      <c r="W77" s="103">
        <v>112991</v>
      </c>
      <c r="X77" s="171">
        <f>W77*1.053</f>
        <v>118979.52299999999</v>
      </c>
      <c r="Y77" s="171">
        <f>X77*1.051</f>
        <v>125047.47867299998</v>
      </c>
      <c r="Z77" s="103">
        <v>112991</v>
      </c>
      <c r="AA77" s="103"/>
      <c r="AB77" s="103"/>
      <c r="AC77" s="98">
        <f t="shared" si="17"/>
        <v>0</v>
      </c>
      <c r="AD77" s="98">
        <f t="shared" si="18"/>
        <v>0</v>
      </c>
      <c r="AE77" s="98">
        <f t="shared" si="19"/>
        <v>0</v>
      </c>
      <c r="AF77" s="98">
        <f t="shared" si="20"/>
        <v>0</v>
      </c>
      <c r="AG77" s="98">
        <f t="shared" si="21"/>
        <v>112991</v>
      </c>
      <c r="AH77" s="98">
        <f>AG77*1.053</f>
        <v>118979.52299999999</v>
      </c>
      <c r="AI77" s="98">
        <f>AH77*1.051</f>
        <v>125047.47867299998</v>
      </c>
      <c r="AJ77" s="103"/>
      <c r="AK77" s="98">
        <f t="shared" si="26"/>
        <v>0</v>
      </c>
      <c r="AL77" s="98">
        <f t="shared" si="23"/>
        <v>0</v>
      </c>
      <c r="AM77" s="150">
        <f t="shared" si="24"/>
        <v>118979.52299999999</v>
      </c>
      <c r="AN77" s="150">
        <f t="shared" si="24"/>
        <v>125047.47867299998</v>
      </c>
      <c r="AO77" s="103">
        <v>112991</v>
      </c>
      <c r="AP77" s="102">
        <f t="shared" si="52"/>
        <v>326261</v>
      </c>
      <c r="AQ77" s="330">
        <f t="shared" si="5"/>
        <v>343552.81391999999</v>
      </c>
      <c r="AR77" s="330">
        <f t="shared" si="6"/>
        <v>361073.98906991998</v>
      </c>
    </row>
    <row r="78" spans="1:44" s="18" customFormat="1" ht="24.95" hidden="1" customHeight="1" x14ac:dyDescent="0.2">
      <c r="A78" s="36"/>
      <c r="B78" s="112" t="s">
        <v>172</v>
      </c>
      <c r="C78" s="114"/>
      <c r="D78" s="114" t="s">
        <v>83</v>
      </c>
      <c r="E78" s="114" t="s">
        <v>173</v>
      </c>
      <c r="F78" s="97" t="s">
        <v>174</v>
      </c>
      <c r="G78" s="96">
        <f t="shared" si="3"/>
        <v>4870732</v>
      </c>
      <c r="H78" s="98">
        <v>4870732</v>
      </c>
      <c r="I78" s="98">
        <v>3550690</v>
      </c>
      <c r="J78" s="103">
        <f t="shared" si="7"/>
        <v>781151.8</v>
      </c>
      <c r="K78" s="103">
        <f t="shared" si="8"/>
        <v>4331841.8</v>
      </c>
      <c r="L78" s="103">
        <f t="shared" si="9"/>
        <v>4678389.1440000003</v>
      </c>
      <c r="M78" s="103">
        <f t="shared" si="10"/>
        <v>5038625.1080879997</v>
      </c>
      <c r="N78" s="229">
        <f t="shared" si="49"/>
        <v>172900.20000000019</v>
      </c>
      <c r="O78" s="229">
        <f t="shared" ref="O78:O85" si="53">N78*77.43%</f>
        <v>133876.62486000016</v>
      </c>
      <c r="P78" s="229">
        <f t="shared" ref="P78:P85" si="54">O78*77.1%</f>
        <v>103218.87776706011</v>
      </c>
      <c r="Q78" s="98">
        <v>365990</v>
      </c>
      <c r="R78" s="98">
        <f t="shared" si="12"/>
        <v>395269.2</v>
      </c>
      <c r="S78" s="98">
        <f t="shared" si="13"/>
        <v>419380.62119999999</v>
      </c>
      <c r="T78" s="150">
        <f t="shared" si="50"/>
        <v>5207534.9688600004</v>
      </c>
      <c r="U78" s="150">
        <f t="shared" si="51"/>
        <v>5561224.6070550596</v>
      </c>
      <c r="V78" s="108">
        <f t="shared" si="29"/>
        <v>9720</v>
      </c>
      <c r="W78" s="103"/>
      <c r="X78" s="171">
        <f t="shared" ref="X78:Y89" si="55">W78</f>
        <v>0</v>
      </c>
      <c r="Y78" s="171">
        <f t="shared" si="55"/>
        <v>0</v>
      </c>
      <c r="Z78" s="103"/>
      <c r="AA78" s="103">
        <v>9720</v>
      </c>
      <c r="AB78" s="103"/>
      <c r="AC78" s="98">
        <f t="shared" si="17"/>
        <v>0</v>
      </c>
      <c r="AD78" s="98">
        <f t="shared" si="18"/>
        <v>0</v>
      </c>
      <c r="AE78" s="98">
        <f t="shared" si="19"/>
        <v>0</v>
      </c>
      <c r="AF78" s="98">
        <f t="shared" si="20"/>
        <v>0</v>
      </c>
      <c r="AG78" s="98">
        <f t="shared" si="21"/>
        <v>9720</v>
      </c>
      <c r="AH78" s="98">
        <f>AG78*1.0569</f>
        <v>10273.067999999999</v>
      </c>
      <c r="AI78" s="98">
        <f>10273*1.0358</f>
        <v>10640.7734</v>
      </c>
      <c r="AJ78" s="103"/>
      <c r="AK78" s="98">
        <f t="shared" si="26"/>
        <v>0</v>
      </c>
      <c r="AL78" s="98">
        <f t="shared" si="23"/>
        <v>0</v>
      </c>
      <c r="AM78" s="150">
        <f t="shared" si="24"/>
        <v>10273.067999999999</v>
      </c>
      <c r="AN78" s="150">
        <f t="shared" si="24"/>
        <v>10640.7734</v>
      </c>
      <c r="AO78" s="103"/>
      <c r="AP78" s="102">
        <f t="shared" si="52"/>
        <v>4880452</v>
      </c>
      <c r="AQ78" s="330">
        <f t="shared" si="5"/>
        <v>5217808.0368600003</v>
      </c>
      <c r="AR78" s="330">
        <f t="shared" si="6"/>
        <v>5571865.3804550599</v>
      </c>
    </row>
    <row r="79" spans="1:44" s="18" customFormat="1" ht="24.95" hidden="1" customHeight="1" x14ac:dyDescent="0.2">
      <c r="A79" s="36"/>
      <c r="B79" s="112" t="s">
        <v>175</v>
      </c>
      <c r="C79" s="114"/>
      <c r="D79" s="114" t="s">
        <v>176</v>
      </c>
      <c r="E79" s="114" t="s">
        <v>54</v>
      </c>
      <c r="F79" s="97" t="s">
        <v>177</v>
      </c>
      <c r="G79" s="96">
        <f t="shared" si="3"/>
        <v>1008296</v>
      </c>
      <c r="H79" s="98">
        <v>1008296</v>
      </c>
      <c r="I79" s="98">
        <v>682210</v>
      </c>
      <c r="J79" s="103">
        <f t="shared" si="7"/>
        <v>150086.20000000001</v>
      </c>
      <c r="K79" s="103">
        <f t="shared" si="8"/>
        <v>832296.2</v>
      </c>
      <c r="L79" s="103">
        <f t="shared" si="9"/>
        <v>898879.89600000007</v>
      </c>
      <c r="M79" s="103">
        <f t="shared" si="10"/>
        <v>968093.64799199998</v>
      </c>
      <c r="N79" s="229">
        <f t="shared" si="49"/>
        <v>169999.80000000005</v>
      </c>
      <c r="O79" s="229">
        <f t="shared" si="53"/>
        <v>131630.84514000005</v>
      </c>
      <c r="P79" s="229">
        <f t="shared" si="54"/>
        <v>101487.38160294002</v>
      </c>
      <c r="Q79" s="98">
        <v>6000</v>
      </c>
      <c r="R79" s="98">
        <f t="shared" si="12"/>
        <v>6480</v>
      </c>
      <c r="S79" s="98">
        <f t="shared" si="13"/>
        <v>6875.28</v>
      </c>
      <c r="T79" s="150">
        <f t="shared" si="50"/>
        <v>1036990.7411400001</v>
      </c>
      <c r="U79" s="150">
        <f t="shared" si="51"/>
        <v>1076456.3095949399</v>
      </c>
      <c r="V79" s="108">
        <f t="shared" si="29"/>
        <v>0</v>
      </c>
      <c r="W79" s="103"/>
      <c r="X79" s="171">
        <f t="shared" si="55"/>
        <v>0</v>
      </c>
      <c r="Y79" s="171">
        <f t="shared" si="55"/>
        <v>0</v>
      </c>
      <c r="Z79" s="103"/>
      <c r="AA79" s="103"/>
      <c r="AB79" s="103"/>
      <c r="AC79" s="98">
        <f t="shared" si="17"/>
        <v>0</v>
      </c>
      <c r="AD79" s="98">
        <f t="shared" si="18"/>
        <v>0</v>
      </c>
      <c r="AE79" s="98">
        <f t="shared" si="19"/>
        <v>0</v>
      </c>
      <c r="AF79" s="98">
        <f t="shared" si="20"/>
        <v>0</v>
      </c>
      <c r="AG79" s="98">
        <f t="shared" si="21"/>
        <v>0</v>
      </c>
      <c r="AH79" s="98">
        <f>AG79</f>
        <v>0</v>
      </c>
      <c r="AI79" s="98">
        <f>AH79</f>
        <v>0</v>
      </c>
      <c r="AJ79" s="103"/>
      <c r="AK79" s="98">
        <f t="shared" si="26"/>
        <v>0</v>
      </c>
      <c r="AL79" s="98">
        <f t="shared" si="23"/>
        <v>0</v>
      </c>
      <c r="AM79" s="150">
        <f t="shared" si="24"/>
        <v>0</v>
      </c>
      <c r="AN79" s="150">
        <f t="shared" si="24"/>
        <v>0</v>
      </c>
      <c r="AO79" s="103"/>
      <c r="AP79" s="102">
        <f t="shared" si="52"/>
        <v>1008296</v>
      </c>
      <c r="AQ79" s="330">
        <f t="shared" si="5"/>
        <v>1036990.7411400001</v>
      </c>
      <c r="AR79" s="330">
        <f t="shared" si="6"/>
        <v>1076456.3095949399</v>
      </c>
    </row>
    <row r="80" spans="1:44" s="18" customFormat="1" ht="24.95" hidden="1" customHeight="1" x14ac:dyDescent="0.2">
      <c r="A80" s="36"/>
      <c r="B80" s="113" t="s">
        <v>178</v>
      </c>
      <c r="C80" s="114"/>
      <c r="D80" s="114"/>
      <c r="E80" s="114"/>
      <c r="F80" s="106" t="s">
        <v>55</v>
      </c>
      <c r="G80" s="96">
        <f t="shared" si="3"/>
        <v>0</v>
      </c>
      <c r="H80" s="108"/>
      <c r="I80" s="108"/>
      <c r="J80" s="103">
        <f t="shared" si="7"/>
        <v>0</v>
      </c>
      <c r="K80" s="103">
        <f t="shared" si="8"/>
        <v>0</v>
      </c>
      <c r="L80" s="103">
        <f t="shared" si="9"/>
        <v>0</v>
      </c>
      <c r="M80" s="103">
        <f t="shared" si="10"/>
        <v>0</v>
      </c>
      <c r="N80" s="229">
        <f t="shared" si="49"/>
        <v>0</v>
      </c>
      <c r="O80" s="229">
        <f t="shared" si="53"/>
        <v>0</v>
      </c>
      <c r="P80" s="229">
        <f t="shared" si="54"/>
        <v>0</v>
      </c>
      <c r="Q80" s="108"/>
      <c r="R80" s="98">
        <f t="shared" si="12"/>
        <v>0</v>
      </c>
      <c r="S80" s="98">
        <f t="shared" si="13"/>
        <v>0</v>
      </c>
      <c r="T80" s="150">
        <f t="shared" si="50"/>
        <v>0</v>
      </c>
      <c r="U80" s="150">
        <f t="shared" si="51"/>
        <v>0</v>
      </c>
      <c r="V80" s="108">
        <f t="shared" si="29"/>
        <v>0</v>
      </c>
      <c r="W80" s="108"/>
      <c r="X80" s="171">
        <f t="shared" si="55"/>
        <v>0</v>
      </c>
      <c r="Y80" s="171">
        <f t="shared" si="55"/>
        <v>0</v>
      </c>
      <c r="Z80" s="108"/>
      <c r="AA80" s="108"/>
      <c r="AB80" s="108"/>
      <c r="AC80" s="98">
        <f t="shared" si="17"/>
        <v>0</v>
      </c>
      <c r="AD80" s="98">
        <f t="shared" si="18"/>
        <v>0</v>
      </c>
      <c r="AE80" s="98">
        <f t="shared" si="19"/>
        <v>0</v>
      </c>
      <c r="AF80" s="98">
        <f t="shared" si="20"/>
        <v>0</v>
      </c>
      <c r="AG80" s="98">
        <f t="shared" si="21"/>
        <v>0</v>
      </c>
      <c r="AH80" s="98">
        <f>AG80</f>
        <v>0</v>
      </c>
      <c r="AI80" s="98">
        <f>AH80</f>
        <v>0</v>
      </c>
      <c r="AJ80" s="108"/>
      <c r="AK80" s="98">
        <f t="shared" si="26"/>
        <v>0</v>
      </c>
      <c r="AL80" s="98">
        <f t="shared" si="23"/>
        <v>0</v>
      </c>
      <c r="AM80" s="150">
        <f t="shared" si="24"/>
        <v>0</v>
      </c>
      <c r="AN80" s="150">
        <f t="shared" si="24"/>
        <v>0</v>
      </c>
      <c r="AO80" s="108"/>
      <c r="AP80" s="102">
        <f t="shared" si="52"/>
        <v>0</v>
      </c>
      <c r="AQ80" s="330">
        <f t="shared" si="5"/>
        <v>0</v>
      </c>
      <c r="AR80" s="330">
        <f t="shared" si="6"/>
        <v>0</v>
      </c>
    </row>
    <row r="81" spans="1:44" s="18" customFormat="1" ht="24.95" hidden="1" customHeight="1" x14ac:dyDescent="0.2">
      <c r="A81" s="36"/>
      <c r="B81" s="113" t="s">
        <v>179</v>
      </c>
      <c r="C81" s="114"/>
      <c r="D81" s="114" t="s">
        <v>180</v>
      </c>
      <c r="E81" s="114" t="s">
        <v>54</v>
      </c>
      <c r="F81" s="106" t="s">
        <v>181</v>
      </c>
      <c r="G81" s="96">
        <f t="shared" ref="G81:G99" si="56">H81</f>
        <v>5219768</v>
      </c>
      <c r="H81" s="103">
        <v>5219768</v>
      </c>
      <c r="I81" s="103">
        <v>3198330</v>
      </c>
      <c r="J81" s="103">
        <f t="shared" si="7"/>
        <v>703632.6</v>
      </c>
      <c r="K81" s="103">
        <f t="shared" si="8"/>
        <v>3901962.6</v>
      </c>
      <c r="L81" s="103">
        <f t="shared" si="9"/>
        <v>4214119.608</v>
      </c>
      <c r="M81" s="103">
        <f t="shared" si="10"/>
        <v>4538606.8178159995</v>
      </c>
      <c r="N81" s="229">
        <f t="shared" si="49"/>
        <v>890300.39999999991</v>
      </c>
      <c r="O81" s="229">
        <f t="shared" si="53"/>
        <v>689359.59972000006</v>
      </c>
      <c r="P81" s="229">
        <f t="shared" si="54"/>
        <v>531496.25138411997</v>
      </c>
      <c r="Q81" s="103">
        <v>427505</v>
      </c>
      <c r="R81" s="98">
        <f t="shared" ref="R81:R99" si="57">Q81*1.08</f>
        <v>461705.4</v>
      </c>
      <c r="S81" s="98">
        <f t="shared" ref="S81:S99" si="58">R81*1.061</f>
        <v>489869.42940000002</v>
      </c>
      <c r="T81" s="150">
        <f t="shared" si="50"/>
        <v>5365184.6077200007</v>
      </c>
      <c r="U81" s="150">
        <f t="shared" si="51"/>
        <v>5559972.4986001188</v>
      </c>
      <c r="V81" s="108">
        <f t="shared" si="29"/>
        <v>194250</v>
      </c>
      <c r="W81" s="103"/>
      <c r="X81" s="171">
        <f t="shared" si="55"/>
        <v>0</v>
      </c>
      <c r="Y81" s="171">
        <f t="shared" si="55"/>
        <v>0</v>
      </c>
      <c r="Z81" s="103"/>
      <c r="AA81" s="103">
        <v>194250</v>
      </c>
      <c r="AB81" s="103">
        <v>111455</v>
      </c>
      <c r="AC81" s="98">
        <f t="shared" ref="AC81:AC99" si="59">AB81*22%</f>
        <v>24520.1</v>
      </c>
      <c r="AD81" s="98">
        <f t="shared" ref="AD81:AD99" si="60">AB81+AC81</f>
        <v>135975.1</v>
      </c>
      <c r="AE81" s="98">
        <f>AD81*1.0569</f>
        <v>143712.08319</v>
      </c>
      <c r="AF81" s="98">
        <f>AE81*1.0358</f>
        <v>148856.97576820201</v>
      </c>
      <c r="AG81" s="98">
        <f t="shared" ref="AG81:AG99" si="61">V81-AD81-AJ81</f>
        <v>42197.899999999994</v>
      </c>
      <c r="AH81" s="98">
        <f>AG81*1.0569</f>
        <v>44598.96050999999</v>
      </c>
      <c r="AI81" s="98">
        <f>44599*1.0358</f>
        <v>46195.644200000002</v>
      </c>
      <c r="AJ81" s="103">
        <v>16077</v>
      </c>
      <c r="AK81" s="98">
        <f>AJ81*1.0569</f>
        <v>16991.781299999999</v>
      </c>
      <c r="AL81" s="98">
        <f>AK81*1.0358</f>
        <v>17600.087070540001</v>
      </c>
      <c r="AM81" s="150">
        <f t="shared" ref="AM81:AN99" si="62">AE81+AH81+AK81</f>
        <v>205302.82499999998</v>
      </c>
      <c r="AN81" s="150">
        <f t="shared" si="62"/>
        <v>212652.70703874202</v>
      </c>
      <c r="AO81" s="103"/>
      <c r="AP81" s="102">
        <f t="shared" si="52"/>
        <v>5414018</v>
      </c>
      <c r="AQ81" s="330">
        <f t="shared" ref="AQ81:AQ99" si="63">T81+AM81</f>
        <v>5570487.4327200009</v>
      </c>
      <c r="AR81" s="330">
        <f t="shared" ref="AR81:AR99" si="64">U81+AN81</f>
        <v>5772625.2056388613</v>
      </c>
    </row>
    <row r="82" spans="1:44" s="18" customFormat="1" ht="24.95" hidden="1" customHeight="1" x14ac:dyDescent="0.2">
      <c r="A82" s="36"/>
      <c r="B82" s="113"/>
      <c r="C82" s="114"/>
      <c r="D82" s="114"/>
      <c r="E82" s="114"/>
      <c r="F82" s="97" t="s">
        <v>163</v>
      </c>
      <c r="G82" s="96">
        <f t="shared" si="56"/>
        <v>0</v>
      </c>
      <c r="H82" s="108"/>
      <c r="I82" s="108"/>
      <c r="J82" s="103">
        <f t="shared" ref="J82:J99" si="65">I82*22%</f>
        <v>0</v>
      </c>
      <c r="K82" s="103">
        <f t="shared" ref="K82:K99" si="66">I82+J82</f>
        <v>0</v>
      </c>
      <c r="L82" s="103">
        <f t="shared" ref="L82:L99" si="67">K82*1.08</f>
        <v>0</v>
      </c>
      <c r="M82" s="103">
        <f t="shared" ref="M82:M99" si="68">L82*1.077</f>
        <v>0</v>
      </c>
      <c r="N82" s="229">
        <f t="shared" si="49"/>
        <v>0</v>
      </c>
      <c r="O82" s="229">
        <f t="shared" si="53"/>
        <v>0</v>
      </c>
      <c r="P82" s="229">
        <f t="shared" si="54"/>
        <v>0</v>
      </c>
      <c r="Q82" s="108"/>
      <c r="R82" s="98">
        <f t="shared" si="57"/>
        <v>0</v>
      </c>
      <c r="S82" s="98">
        <f t="shared" si="58"/>
        <v>0</v>
      </c>
      <c r="T82" s="150">
        <f t="shared" si="50"/>
        <v>0</v>
      </c>
      <c r="U82" s="150">
        <f t="shared" si="51"/>
        <v>0</v>
      </c>
      <c r="V82" s="108">
        <f t="shared" si="29"/>
        <v>0</v>
      </c>
      <c r="W82" s="103"/>
      <c r="X82" s="171">
        <f t="shared" si="55"/>
        <v>0</v>
      </c>
      <c r="Y82" s="171">
        <f t="shared" si="55"/>
        <v>0</v>
      </c>
      <c r="Z82" s="103"/>
      <c r="AA82" s="103"/>
      <c r="AB82" s="103"/>
      <c r="AC82" s="98">
        <f t="shared" si="59"/>
        <v>0</v>
      </c>
      <c r="AD82" s="98">
        <f t="shared" si="60"/>
        <v>0</v>
      </c>
      <c r="AE82" s="98">
        <f t="shared" ref="AE82:AE99" si="69">AD82*1.08</f>
        <v>0</v>
      </c>
      <c r="AF82" s="98">
        <f t="shared" ref="AF82:AF99" si="70">AE82*1.077</f>
        <v>0</v>
      </c>
      <c r="AG82" s="98">
        <f t="shared" si="61"/>
        <v>0</v>
      </c>
      <c r="AH82" s="98">
        <f t="shared" ref="AH82:AI89" si="71">AG82</f>
        <v>0</v>
      </c>
      <c r="AI82" s="98">
        <f t="shared" si="71"/>
        <v>0</v>
      </c>
      <c r="AJ82" s="103"/>
      <c r="AK82" s="98">
        <f t="shared" ref="AK82:AK99" si="72">AJ82*1.08</f>
        <v>0</v>
      </c>
      <c r="AL82" s="98">
        <f t="shared" ref="AL82:AL99" si="73">AK82*1.061</f>
        <v>0</v>
      </c>
      <c r="AM82" s="150">
        <f t="shared" si="62"/>
        <v>0</v>
      </c>
      <c r="AN82" s="150">
        <f t="shared" si="62"/>
        <v>0</v>
      </c>
      <c r="AO82" s="103"/>
      <c r="AP82" s="102">
        <f t="shared" si="52"/>
        <v>0</v>
      </c>
      <c r="AQ82" s="330">
        <f t="shared" si="63"/>
        <v>0</v>
      </c>
      <c r="AR82" s="330">
        <f t="shared" si="64"/>
        <v>0</v>
      </c>
    </row>
    <row r="83" spans="1:44" s="18" customFormat="1" ht="24.95" hidden="1" customHeight="1" x14ac:dyDescent="0.2">
      <c r="A83" s="36"/>
      <c r="B83" s="113" t="s">
        <v>182</v>
      </c>
      <c r="C83" s="114"/>
      <c r="D83" s="114" t="s">
        <v>183</v>
      </c>
      <c r="E83" s="114" t="s">
        <v>54</v>
      </c>
      <c r="F83" s="106" t="s">
        <v>184</v>
      </c>
      <c r="G83" s="96">
        <f t="shared" si="56"/>
        <v>464480</v>
      </c>
      <c r="H83" s="103">
        <v>464480</v>
      </c>
      <c r="I83" s="103"/>
      <c r="J83" s="103">
        <f t="shared" si="65"/>
        <v>0</v>
      </c>
      <c r="K83" s="103">
        <f t="shared" si="66"/>
        <v>0</v>
      </c>
      <c r="L83" s="103">
        <f t="shared" si="67"/>
        <v>0</v>
      </c>
      <c r="M83" s="103">
        <f t="shared" si="68"/>
        <v>0</v>
      </c>
      <c r="N83" s="229">
        <f t="shared" si="49"/>
        <v>464480</v>
      </c>
      <c r="O83" s="229">
        <f t="shared" si="53"/>
        <v>359646.86400000006</v>
      </c>
      <c r="P83" s="229">
        <f t="shared" si="54"/>
        <v>277287.73214400001</v>
      </c>
      <c r="Q83" s="103"/>
      <c r="R83" s="98">
        <f t="shared" si="57"/>
        <v>0</v>
      </c>
      <c r="S83" s="98">
        <f t="shared" si="58"/>
        <v>0</v>
      </c>
      <c r="T83" s="150">
        <f t="shared" si="50"/>
        <v>359646.86400000006</v>
      </c>
      <c r="U83" s="150">
        <f t="shared" si="51"/>
        <v>277287.73214400001</v>
      </c>
      <c r="V83" s="108">
        <f t="shared" si="29"/>
        <v>0</v>
      </c>
      <c r="W83" s="103"/>
      <c r="X83" s="171">
        <f t="shared" si="55"/>
        <v>0</v>
      </c>
      <c r="Y83" s="171">
        <f t="shared" si="55"/>
        <v>0</v>
      </c>
      <c r="Z83" s="103"/>
      <c r="AA83" s="103"/>
      <c r="AB83" s="103"/>
      <c r="AC83" s="98">
        <f t="shared" si="59"/>
        <v>0</v>
      </c>
      <c r="AD83" s="98">
        <f t="shared" si="60"/>
        <v>0</v>
      </c>
      <c r="AE83" s="98">
        <f t="shared" si="69"/>
        <v>0</v>
      </c>
      <c r="AF83" s="98">
        <f t="shared" si="70"/>
        <v>0</v>
      </c>
      <c r="AG83" s="98">
        <f t="shared" si="61"/>
        <v>0</v>
      </c>
      <c r="AH83" s="98">
        <f t="shared" si="71"/>
        <v>0</v>
      </c>
      <c r="AI83" s="98">
        <f t="shared" si="71"/>
        <v>0</v>
      </c>
      <c r="AJ83" s="103"/>
      <c r="AK83" s="98">
        <f t="shared" si="72"/>
        <v>0</v>
      </c>
      <c r="AL83" s="98">
        <f t="shared" si="73"/>
        <v>0</v>
      </c>
      <c r="AM83" s="150">
        <f t="shared" si="62"/>
        <v>0</v>
      </c>
      <c r="AN83" s="150">
        <f t="shared" si="62"/>
        <v>0</v>
      </c>
      <c r="AO83" s="103"/>
      <c r="AP83" s="102">
        <f t="shared" si="52"/>
        <v>464480</v>
      </c>
      <c r="AQ83" s="330">
        <f t="shared" si="63"/>
        <v>359646.86400000006</v>
      </c>
      <c r="AR83" s="330">
        <f t="shared" si="64"/>
        <v>277287.73214400001</v>
      </c>
    </row>
    <row r="84" spans="1:44" s="18" customFormat="1" ht="24.95" hidden="1" customHeight="1" x14ac:dyDescent="0.2">
      <c r="A84" s="36"/>
      <c r="B84" s="112" t="s">
        <v>185</v>
      </c>
      <c r="C84" s="114"/>
      <c r="D84" s="104" t="s">
        <v>71</v>
      </c>
      <c r="E84" s="104" t="s">
        <v>71</v>
      </c>
      <c r="F84" s="97" t="s">
        <v>72</v>
      </c>
      <c r="G84" s="96">
        <f t="shared" si="56"/>
        <v>0</v>
      </c>
      <c r="H84" s="98"/>
      <c r="I84" s="98"/>
      <c r="J84" s="103">
        <f t="shared" si="65"/>
        <v>0</v>
      </c>
      <c r="K84" s="103">
        <f t="shared" si="66"/>
        <v>0</v>
      </c>
      <c r="L84" s="103">
        <f t="shared" si="67"/>
        <v>0</v>
      </c>
      <c r="M84" s="103">
        <f t="shared" si="68"/>
        <v>0</v>
      </c>
      <c r="N84" s="229">
        <f t="shared" si="49"/>
        <v>0</v>
      </c>
      <c r="O84" s="229">
        <f t="shared" si="53"/>
        <v>0</v>
      </c>
      <c r="P84" s="229">
        <f t="shared" si="54"/>
        <v>0</v>
      </c>
      <c r="Q84" s="98"/>
      <c r="R84" s="98">
        <f t="shared" si="57"/>
        <v>0</v>
      </c>
      <c r="S84" s="98">
        <f t="shared" si="58"/>
        <v>0</v>
      </c>
      <c r="T84" s="150">
        <f t="shared" si="50"/>
        <v>0</v>
      </c>
      <c r="U84" s="150">
        <f t="shared" si="51"/>
        <v>0</v>
      </c>
      <c r="V84" s="108">
        <f t="shared" si="29"/>
        <v>0</v>
      </c>
      <c r="W84" s="103"/>
      <c r="X84" s="171">
        <f t="shared" si="55"/>
        <v>0</v>
      </c>
      <c r="Y84" s="171">
        <f t="shared" si="55"/>
        <v>0</v>
      </c>
      <c r="Z84" s="103"/>
      <c r="AA84" s="103"/>
      <c r="AB84" s="103"/>
      <c r="AC84" s="98">
        <f t="shared" si="59"/>
        <v>0</v>
      </c>
      <c r="AD84" s="98">
        <f t="shared" si="60"/>
        <v>0</v>
      </c>
      <c r="AE84" s="98">
        <f t="shared" si="69"/>
        <v>0</v>
      </c>
      <c r="AF84" s="98">
        <f t="shared" si="70"/>
        <v>0</v>
      </c>
      <c r="AG84" s="98">
        <f t="shared" si="61"/>
        <v>0</v>
      </c>
      <c r="AH84" s="98">
        <f t="shared" si="71"/>
        <v>0</v>
      </c>
      <c r="AI84" s="98">
        <f t="shared" si="71"/>
        <v>0</v>
      </c>
      <c r="AJ84" s="103">
        <f>AB84</f>
        <v>0</v>
      </c>
      <c r="AK84" s="98">
        <f t="shared" si="72"/>
        <v>0</v>
      </c>
      <c r="AL84" s="98">
        <f t="shared" si="73"/>
        <v>0</v>
      </c>
      <c r="AM84" s="150">
        <f t="shared" si="62"/>
        <v>0</v>
      </c>
      <c r="AN84" s="150">
        <f t="shared" si="62"/>
        <v>0</v>
      </c>
      <c r="AO84" s="103">
        <f>AB84</f>
        <v>0</v>
      </c>
      <c r="AP84" s="102">
        <f t="shared" si="52"/>
        <v>0</v>
      </c>
      <c r="AQ84" s="330">
        <f t="shared" si="63"/>
        <v>0</v>
      </c>
      <c r="AR84" s="330">
        <f t="shared" si="64"/>
        <v>0</v>
      </c>
    </row>
    <row r="85" spans="1:44" s="18" customFormat="1" ht="24.95" hidden="1" customHeight="1" x14ac:dyDescent="0.2">
      <c r="A85" s="36"/>
      <c r="B85" s="112" t="s">
        <v>250</v>
      </c>
      <c r="C85" s="114"/>
      <c r="D85" s="114" t="s">
        <v>251</v>
      </c>
      <c r="E85" s="114" t="s">
        <v>54</v>
      </c>
      <c r="F85" s="106" t="s">
        <v>252</v>
      </c>
      <c r="G85" s="96">
        <f t="shared" si="56"/>
        <v>946740</v>
      </c>
      <c r="H85" s="103">
        <f>938740+8000</f>
        <v>946740</v>
      </c>
      <c r="I85" s="103">
        <v>769459</v>
      </c>
      <c r="J85" s="103">
        <f t="shared" si="65"/>
        <v>169280.98</v>
      </c>
      <c r="K85" s="103">
        <f t="shared" si="66"/>
        <v>938739.98</v>
      </c>
      <c r="L85" s="105">
        <f t="shared" si="67"/>
        <v>1013839.1784000001</v>
      </c>
      <c r="M85" s="105">
        <f t="shared" si="68"/>
        <v>1091904.7951368</v>
      </c>
      <c r="N85" s="229">
        <f t="shared" si="49"/>
        <v>8000.0200000000186</v>
      </c>
      <c r="O85" s="229">
        <f t="shared" si="53"/>
        <v>6194.4154860000153</v>
      </c>
      <c r="P85" s="229">
        <f t="shared" si="54"/>
        <v>4775.8943397060111</v>
      </c>
      <c r="Q85" s="98"/>
      <c r="R85" s="98">
        <f t="shared" si="57"/>
        <v>0</v>
      </c>
      <c r="S85" s="98">
        <f t="shared" si="58"/>
        <v>0</v>
      </c>
      <c r="T85" s="150">
        <f t="shared" si="50"/>
        <v>1020033.5938860001</v>
      </c>
      <c r="U85" s="150">
        <f t="shared" si="51"/>
        <v>1096680.6894765061</v>
      </c>
      <c r="V85" s="108"/>
      <c r="W85" s="103"/>
      <c r="X85" s="171">
        <f t="shared" si="55"/>
        <v>0</v>
      </c>
      <c r="Y85" s="171">
        <f t="shared" si="55"/>
        <v>0</v>
      </c>
      <c r="Z85" s="103"/>
      <c r="AA85" s="103"/>
      <c r="AB85" s="103"/>
      <c r="AC85" s="98">
        <f t="shared" si="59"/>
        <v>0</v>
      </c>
      <c r="AD85" s="98">
        <f t="shared" si="60"/>
        <v>0</v>
      </c>
      <c r="AE85" s="98">
        <f t="shared" si="69"/>
        <v>0</v>
      </c>
      <c r="AF85" s="98">
        <f t="shared" si="70"/>
        <v>0</v>
      </c>
      <c r="AG85" s="98">
        <f t="shared" si="61"/>
        <v>0</v>
      </c>
      <c r="AH85" s="98">
        <f t="shared" si="71"/>
        <v>0</v>
      </c>
      <c r="AI85" s="98">
        <f t="shared" si="71"/>
        <v>0</v>
      </c>
      <c r="AJ85" s="103"/>
      <c r="AK85" s="98">
        <f t="shared" si="72"/>
        <v>0</v>
      </c>
      <c r="AL85" s="98">
        <f t="shared" si="73"/>
        <v>0</v>
      </c>
      <c r="AM85" s="150">
        <f t="shared" si="62"/>
        <v>0</v>
      </c>
      <c r="AN85" s="150">
        <f t="shared" si="62"/>
        <v>0</v>
      </c>
      <c r="AO85" s="103"/>
      <c r="AP85" s="102">
        <f t="shared" si="52"/>
        <v>946740</v>
      </c>
      <c r="AQ85" s="330">
        <f t="shared" si="63"/>
        <v>1020033.5938860001</v>
      </c>
      <c r="AR85" s="330">
        <f t="shared" si="64"/>
        <v>1096680.6894765061</v>
      </c>
    </row>
    <row r="86" spans="1:44" s="18" customFormat="1" ht="24.95" hidden="1" customHeight="1" x14ac:dyDescent="0.2">
      <c r="A86" s="36"/>
      <c r="B86" s="112"/>
      <c r="C86" s="114"/>
      <c r="D86" s="114"/>
      <c r="E86" s="114"/>
      <c r="F86" s="97" t="s">
        <v>163</v>
      </c>
      <c r="G86" s="96">
        <f t="shared" si="56"/>
        <v>938740</v>
      </c>
      <c r="H86" s="103">
        <v>938740</v>
      </c>
      <c r="I86" s="103">
        <v>769459</v>
      </c>
      <c r="J86" s="103">
        <f t="shared" si="65"/>
        <v>169280.98</v>
      </c>
      <c r="K86" s="103">
        <f t="shared" si="66"/>
        <v>938739.98</v>
      </c>
      <c r="L86" s="103">
        <v>988490</v>
      </c>
      <c r="M86" s="103">
        <v>1038900</v>
      </c>
      <c r="N86" s="229">
        <f t="shared" si="49"/>
        <v>2.0000000018626451E-2</v>
      </c>
      <c r="O86" s="229">
        <f>N86*39.61%</f>
        <v>7.922000007377937E-3</v>
      </c>
      <c r="P86" s="229">
        <f>O86</f>
        <v>7.922000007377937E-3</v>
      </c>
      <c r="Q86" s="98"/>
      <c r="R86" s="98">
        <f t="shared" si="57"/>
        <v>0</v>
      </c>
      <c r="S86" s="98">
        <f t="shared" si="58"/>
        <v>0</v>
      </c>
      <c r="T86" s="150">
        <f t="shared" si="50"/>
        <v>988490.00792200002</v>
      </c>
      <c r="U86" s="150">
        <f t="shared" si="51"/>
        <v>1038900.007922</v>
      </c>
      <c r="V86" s="108"/>
      <c r="W86" s="103"/>
      <c r="X86" s="171">
        <f t="shared" si="55"/>
        <v>0</v>
      </c>
      <c r="Y86" s="171">
        <f t="shared" si="55"/>
        <v>0</v>
      </c>
      <c r="Z86" s="103"/>
      <c r="AA86" s="103"/>
      <c r="AB86" s="103"/>
      <c r="AC86" s="98">
        <f t="shared" si="59"/>
        <v>0</v>
      </c>
      <c r="AD86" s="98">
        <f t="shared" si="60"/>
        <v>0</v>
      </c>
      <c r="AE86" s="98">
        <f t="shared" si="69"/>
        <v>0</v>
      </c>
      <c r="AF86" s="98">
        <f t="shared" si="70"/>
        <v>0</v>
      </c>
      <c r="AG86" s="98">
        <f t="shared" si="61"/>
        <v>0</v>
      </c>
      <c r="AH86" s="98">
        <f t="shared" si="71"/>
        <v>0</v>
      </c>
      <c r="AI86" s="98">
        <f t="shared" si="71"/>
        <v>0</v>
      </c>
      <c r="AJ86" s="103"/>
      <c r="AK86" s="98">
        <f t="shared" si="72"/>
        <v>0</v>
      </c>
      <c r="AL86" s="98">
        <f t="shared" si="73"/>
        <v>0</v>
      </c>
      <c r="AM86" s="150">
        <f t="shared" si="62"/>
        <v>0</v>
      </c>
      <c r="AN86" s="150">
        <f t="shared" si="62"/>
        <v>0</v>
      </c>
      <c r="AO86" s="103"/>
      <c r="AP86" s="102">
        <f t="shared" si="52"/>
        <v>938740</v>
      </c>
      <c r="AQ86" s="330">
        <f t="shared" si="63"/>
        <v>988490.00792200002</v>
      </c>
      <c r="AR86" s="330">
        <f t="shared" si="64"/>
        <v>1038900.007922</v>
      </c>
    </row>
    <row r="87" spans="1:44" s="204" customFormat="1" ht="24.95" hidden="1" customHeight="1" x14ac:dyDescent="0.2">
      <c r="A87" s="196"/>
      <c r="B87" s="208" t="s">
        <v>185</v>
      </c>
      <c r="C87" s="209"/>
      <c r="D87" s="199" t="s">
        <v>71</v>
      </c>
      <c r="E87" s="199" t="s">
        <v>71</v>
      </c>
      <c r="F87" s="200" t="s">
        <v>72</v>
      </c>
      <c r="G87" s="169">
        <f t="shared" si="56"/>
        <v>195000</v>
      </c>
      <c r="H87" s="201">
        <v>195000</v>
      </c>
      <c r="I87" s="201"/>
      <c r="J87" s="201">
        <f t="shared" si="65"/>
        <v>0</v>
      </c>
      <c r="K87" s="103">
        <f t="shared" si="66"/>
        <v>0</v>
      </c>
      <c r="L87" s="103">
        <f t="shared" si="67"/>
        <v>0</v>
      </c>
      <c r="M87" s="103">
        <f t="shared" si="68"/>
        <v>0</v>
      </c>
      <c r="N87" s="229">
        <f t="shared" si="49"/>
        <v>195000</v>
      </c>
      <c r="O87" s="229">
        <f>N87*77.43%</f>
        <v>150988.50000000003</v>
      </c>
      <c r="P87" s="229">
        <f>O87*77.1%</f>
        <v>116412.13350000001</v>
      </c>
      <c r="Q87" s="171"/>
      <c r="R87" s="171">
        <f t="shared" si="57"/>
        <v>0</v>
      </c>
      <c r="S87" s="171">
        <f t="shared" si="58"/>
        <v>0</v>
      </c>
      <c r="T87" s="171">
        <f t="shared" si="50"/>
        <v>150988.50000000003</v>
      </c>
      <c r="U87" s="171">
        <f t="shared" si="51"/>
        <v>116412.13350000001</v>
      </c>
      <c r="V87" s="202"/>
      <c r="W87" s="201"/>
      <c r="X87" s="171">
        <f t="shared" si="55"/>
        <v>0</v>
      </c>
      <c r="Y87" s="171">
        <f t="shared" si="55"/>
        <v>0</v>
      </c>
      <c r="Z87" s="201"/>
      <c r="AA87" s="201"/>
      <c r="AB87" s="201"/>
      <c r="AC87" s="171">
        <f t="shared" si="59"/>
        <v>0</v>
      </c>
      <c r="AD87" s="171">
        <f t="shared" si="60"/>
        <v>0</v>
      </c>
      <c r="AE87" s="171">
        <f t="shared" si="69"/>
        <v>0</v>
      </c>
      <c r="AF87" s="171">
        <f t="shared" si="70"/>
        <v>0</v>
      </c>
      <c r="AG87" s="171">
        <f t="shared" si="61"/>
        <v>0</v>
      </c>
      <c r="AH87" s="98">
        <f t="shared" si="71"/>
        <v>0</v>
      </c>
      <c r="AI87" s="98">
        <f t="shared" si="71"/>
        <v>0</v>
      </c>
      <c r="AJ87" s="201"/>
      <c r="AK87" s="171">
        <f t="shared" si="72"/>
        <v>0</v>
      </c>
      <c r="AL87" s="171">
        <f t="shared" si="73"/>
        <v>0</v>
      </c>
      <c r="AM87" s="171">
        <f t="shared" si="62"/>
        <v>0</v>
      </c>
      <c r="AN87" s="171">
        <f t="shared" si="62"/>
        <v>0</v>
      </c>
      <c r="AO87" s="201"/>
      <c r="AP87" s="203">
        <f t="shared" si="52"/>
        <v>195000</v>
      </c>
      <c r="AQ87" s="330">
        <f t="shared" si="63"/>
        <v>150988.50000000003</v>
      </c>
      <c r="AR87" s="330">
        <f t="shared" si="64"/>
        <v>116412.13350000001</v>
      </c>
    </row>
    <row r="88" spans="1:44" s="18" customFormat="1" ht="24.95" hidden="1" customHeight="1" x14ac:dyDescent="0.2">
      <c r="A88" s="36"/>
      <c r="B88" s="112"/>
      <c r="C88" s="114"/>
      <c r="D88" s="114"/>
      <c r="E88" s="114"/>
      <c r="F88" s="97"/>
      <c r="G88" s="96">
        <f t="shared" si="56"/>
        <v>0</v>
      </c>
      <c r="H88" s="103"/>
      <c r="I88" s="122"/>
      <c r="J88" s="103">
        <f t="shared" si="65"/>
        <v>0</v>
      </c>
      <c r="K88" s="103">
        <f t="shared" si="66"/>
        <v>0</v>
      </c>
      <c r="L88" s="103">
        <f t="shared" si="67"/>
        <v>0</v>
      </c>
      <c r="M88" s="103">
        <f t="shared" si="68"/>
        <v>0</v>
      </c>
      <c r="N88" s="229">
        <f t="shared" si="49"/>
        <v>0</v>
      </c>
      <c r="O88" s="229">
        <f>N88</f>
        <v>0</v>
      </c>
      <c r="P88" s="229">
        <f>O88</f>
        <v>0</v>
      </c>
      <c r="Q88" s="98"/>
      <c r="R88" s="98">
        <f t="shared" si="57"/>
        <v>0</v>
      </c>
      <c r="S88" s="98">
        <f t="shared" si="58"/>
        <v>0</v>
      </c>
      <c r="T88" s="150">
        <f t="shared" si="50"/>
        <v>0</v>
      </c>
      <c r="U88" s="150">
        <f t="shared" si="51"/>
        <v>0</v>
      </c>
      <c r="V88" s="108"/>
      <c r="W88" s="103"/>
      <c r="X88" s="171">
        <f t="shared" si="55"/>
        <v>0</v>
      </c>
      <c r="Y88" s="171">
        <f t="shared" si="55"/>
        <v>0</v>
      </c>
      <c r="Z88" s="103"/>
      <c r="AA88" s="103"/>
      <c r="AB88" s="103"/>
      <c r="AC88" s="98">
        <f t="shared" si="59"/>
        <v>0</v>
      </c>
      <c r="AD88" s="98">
        <f t="shared" si="60"/>
        <v>0</v>
      </c>
      <c r="AE88" s="98">
        <f t="shared" si="69"/>
        <v>0</v>
      </c>
      <c r="AF88" s="98">
        <f t="shared" si="70"/>
        <v>0</v>
      </c>
      <c r="AG88" s="98">
        <f t="shared" si="61"/>
        <v>0</v>
      </c>
      <c r="AH88" s="98">
        <f t="shared" si="71"/>
        <v>0</v>
      </c>
      <c r="AI88" s="98">
        <f t="shared" si="71"/>
        <v>0</v>
      </c>
      <c r="AJ88" s="103"/>
      <c r="AK88" s="98">
        <f t="shared" si="72"/>
        <v>0</v>
      </c>
      <c r="AL88" s="98">
        <f t="shared" si="73"/>
        <v>0</v>
      </c>
      <c r="AM88" s="150">
        <f t="shared" si="62"/>
        <v>0</v>
      </c>
      <c r="AN88" s="150">
        <f t="shared" si="62"/>
        <v>0</v>
      </c>
      <c r="AO88" s="103"/>
      <c r="AP88" s="102"/>
      <c r="AQ88" s="330">
        <f t="shared" si="63"/>
        <v>0</v>
      </c>
      <c r="AR88" s="330">
        <f t="shared" si="64"/>
        <v>0</v>
      </c>
    </row>
    <row r="89" spans="1:44" s="18" customFormat="1" ht="24.95" hidden="1" customHeight="1" x14ac:dyDescent="0.2">
      <c r="A89" s="36"/>
      <c r="B89" s="112"/>
      <c r="C89" s="114"/>
      <c r="D89" s="114"/>
      <c r="E89" s="114"/>
      <c r="F89" s="97"/>
      <c r="G89" s="96">
        <f t="shared" si="56"/>
        <v>0</v>
      </c>
      <c r="H89" s="103"/>
      <c r="I89" s="122"/>
      <c r="J89" s="103">
        <f t="shared" si="65"/>
        <v>0</v>
      </c>
      <c r="K89" s="103">
        <f t="shared" si="66"/>
        <v>0</v>
      </c>
      <c r="L89" s="103">
        <f t="shared" si="67"/>
        <v>0</v>
      </c>
      <c r="M89" s="103">
        <f t="shared" si="68"/>
        <v>0</v>
      </c>
      <c r="N89" s="229">
        <f t="shared" si="49"/>
        <v>0</v>
      </c>
      <c r="O89" s="229">
        <f>N89</f>
        <v>0</v>
      </c>
      <c r="P89" s="229">
        <f>O89</f>
        <v>0</v>
      </c>
      <c r="Q89" s="98"/>
      <c r="R89" s="98">
        <f t="shared" si="57"/>
        <v>0</v>
      </c>
      <c r="S89" s="98">
        <f t="shared" si="58"/>
        <v>0</v>
      </c>
      <c r="T89" s="150">
        <f t="shared" si="50"/>
        <v>0</v>
      </c>
      <c r="U89" s="150">
        <f t="shared" si="51"/>
        <v>0</v>
      </c>
      <c r="V89" s="108"/>
      <c r="W89" s="103"/>
      <c r="X89" s="171">
        <f t="shared" si="55"/>
        <v>0</v>
      </c>
      <c r="Y89" s="171">
        <f t="shared" si="55"/>
        <v>0</v>
      </c>
      <c r="Z89" s="103"/>
      <c r="AA89" s="103"/>
      <c r="AB89" s="103"/>
      <c r="AC89" s="98">
        <f t="shared" si="59"/>
        <v>0</v>
      </c>
      <c r="AD89" s="98">
        <f t="shared" si="60"/>
        <v>0</v>
      </c>
      <c r="AE89" s="98">
        <f t="shared" si="69"/>
        <v>0</v>
      </c>
      <c r="AF89" s="98">
        <f t="shared" si="70"/>
        <v>0</v>
      </c>
      <c r="AG89" s="98">
        <f t="shared" si="61"/>
        <v>0</v>
      </c>
      <c r="AH89" s="98">
        <f t="shared" si="71"/>
        <v>0</v>
      </c>
      <c r="AI89" s="98">
        <f t="shared" si="71"/>
        <v>0</v>
      </c>
      <c r="AJ89" s="103"/>
      <c r="AK89" s="98">
        <f t="shared" si="72"/>
        <v>0</v>
      </c>
      <c r="AL89" s="98">
        <f t="shared" si="73"/>
        <v>0</v>
      </c>
      <c r="AM89" s="150">
        <f t="shared" si="62"/>
        <v>0</v>
      </c>
      <c r="AN89" s="150">
        <f t="shared" si="62"/>
        <v>0</v>
      </c>
      <c r="AO89" s="103"/>
      <c r="AP89" s="102"/>
      <c r="AQ89" s="330">
        <f t="shared" si="63"/>
        <v>0</v>
      </c>
      <c r="AR89" s="330">
        <f t="shared" si="64"/>
        <v>0</v>
      </c>
    </row>
    <row r="90" spans="1:44" s="18" customFormat="1" ht="24.95" hidden="1" customHeight="1" x14ac:dyDescent="0.2">
      <c r="A90" s="36"/>
      <c r="B90" s="93" t="s">
        <v>186</v>
      </c>
      <c r="C90" s="104"/>
      <c r="D90" s="104"/>
      <c r="E90" s="104"/>
      <c r="F90" s="95" t="s">
        <v>187</v>
      </c>
      <c r="G90" s="96">
        <f t="shared" si="56"/>
        <v>11170522</v>
      </c>
      <c r="H90" s="96">
        <f>H91</f>
        <v>11170522</v>
      </c>
      <c r="I90" s="96">
        <f>I91</f>
        <v>7921954</v>
      </c>
      <c r="J90" s="103">
        <f t="shared" si="65"/>
        <v>1742829.8800000001</v>
      </c>
      <c r="K90" s="103">
        <f t="shared" si="66"/>
        <v>9664783.8800000008</v>
      </c>
      <c r="L90" s="103">
        <f>L91</f>
        <v>10437966.590400001</v>
      </c>
      <c r="M90" s="103">
        <f t="shared" ref="M90:AR90" si="74">M91</f>
        <v>11241690.0178608</v>
      </c>
      <c r="N90" s="230">
        <f t="shared" si="74"/>
        <v>476682.12000000011</v>
      </c>
      <c r="O90" s="230">
        <f t="shared" si="74"/>
        <v>369111.96551600011</v>
      </c>
      <c r="P90" s="230">
        <f t="shared" si="74"/>
        <v>284615.32541283604</v>
      </c>
      <c r="Q90" s="103">
        <f t="shared" si="74"/>
        <v>1029056</v>
      </c>
      <c r="R90" s="103">
        <f t="shared" si="74"/>
        <v>1111380.48</v>
      </c>
      <c r="S90" s="103">
        <f t="shared" si="74"/>
        <v>1179174.68928</v>
      </c>
      <c r="T90" s="103">
        <f t="shared" si="74"/>
        <v>11918459.035916001</v>
      </c>
      <c r="U90" s="103">
        <f t="shared" si="74"/>
        <v>12705480.032553634</v>
      </c>
      <c r="V90" s="103">
        <f t="shared" si="74"/>
        <v>130523</v>
      </c>
      <c r="W90" s="103">
        <f t="shared" si="74"/>
        <v>0</v>
      </c>
      <c r="X90" s="103">
        <f t="shared" si="74"/>
        <v>0</v>
      </c>
      <c r="Y90" s="103">
        <f t="shared" si="74"/>
        <v>0</v>
      </c>
      <c r="Z90" s="103">
        <f t="shared" si="74"/>
        <v>0</v>
      </c>
      <c r="AA90" s="103">
        <f t="shared" si="74"/>
        <v>130523</v>
      </c>
      <c r="AB90" s="103">
        <f t="shared" si="74"/>
        <v>95510</v>
      </c>
      <c r="AC90" s="103">
        <f t="shared" si="74"/>
        <v>21013.200000000001</v>
      </c>
      <c r="AD90" s="103">
        <f t="shared" si="74"/>
        <v>116523.2</v>
      </c>
      <c r="AE90" s="103">
        <f t="shared" si="74"/>
        <v>123153.37007999999</v>
      </c>
      <c r="AF90" s="103">
        <f t="shared" si="74"/>
        <v>127562.260728864</v>
      </c>
      <c r="AG90" s="103">
        <f t="shared" si="74"/>
        <v>13999.800000000003</v>
      </c>
      <c r="AH90" s="103">
        <f t="shared" si="74"/>
        <v>14796.400000000003</v>
      </c>
      <c r="AI90" s="103">
        <f t="shared" si="74"/>
        <v>15326.118280000002</v>
      </c>
      <c r="AJ90" s="103">
        <f t="shared" si="74"/>
        <v>0</v>
      </c>
      <c r="AK90" s="103">
        <f t="shared" si="74"/>
        <v>0</v>
      </c>
      <c r="AL90" s="103">
        <f t="shared" si="74"/>
        <v>0</v>
      </c>
      <c r="AM90" s="103">
        <f t="shared" si="74"/>
        <v>137949.77007999999</v>
      </c>
      <c r="AN90" s="103">
        <f t="shared" si="74"/>
        <v>142888.37900886399</v>
      </c>
      <c r="AO90" s="103">
        <f t="shared" si="74"/>
        <v>0</v>
      </c>
      <c r="AP90" s="103">
        <f t="shared" si="74"/>
        <v>11301045</v>
      </c>
      <c r="AQ90" s="243">
        <f t="shared" si="74"/>
        <v>12056408.805996001</v>
      </c>
      <c r="AR90" s="243">
        <f t="shared" si="74"/>
        <v>12848368.411562497</v>
      </c>
    </row>
    <row r="91" spans="1:44" s="18" customFormat="1" ht="24.95" hidden="1" customHeight="1" x14ac:dyDescent="0.2">
      <c r="A91" s="36"/>
      <c r="B91" s="93" t="s">
        <v>188</v>
      </c>
      <c r="C91" s="104"/>
      <c r="D91" s="104"/>
      <c r="E91" s="104"/>
      <c r="F91" s="95" t="s">
        <v>187</v>
      </c>
      <c r="G91" s="96">
        <f t="shared" si="56"/>
        <v>11170522</v>
      </c>
      <c r="H91" s="108">
        <f>H95+H96+H92+H97+H93+H98+H99+H94</f>
        <v>11170522</v>
      </c>
      <c r="I91" s="108">
        <f>I95+I96+I92+I97+I93+I98+I99+I94</f>
        <v>7921954</v>
      </c>
      <c r="J91" s="103">
        <f t="shared" si="65"/>
        <v>1742829.8800000001</v>
      </c>
      <c r="K91" s="103">
        <f t="shared" si="66"/>
        <v>9664783.8800000008</v>
      </c>
      <c r="L91" s="103">
        <f>L92+L93+L94+L95+L96+L97+L98+L99</f>
        <v>10437966.590400001</v>
      </c>
      <c r="M91" s="103">
        <f t="shared" ref="M91:AR91" si="75">M92+M93+M94+M95+M96+M97+M98+M99</f>
        <v>11241690.0178608</v>
      </c>
      <c r="N91" s="230">
        <f t="shared" si="75"/>
        <v>476682.12000000011</v>
      </c>
      <c r="O91" s="230">
        <f t="shared" si="75"/>
        <v>369111.96551600011</v>
      </c>
      <c r="P91" s="230">
        <f t="shared" si="75"/>
        <v>284615.32541283604</v>
      </c>
      <c r="Q91" s="103">
        <f t="shared" si="75"/>
        <v>1029056</v>
      </c>
      <c r="R91" s="103">
        <f t="shared" si="75"/>
        <v>1111380.48</v>
      </c>
      <c r="S91" s="103">
        <f t="shared" si="75"/>
        <v>1179174.68928</v>
      </c>
      <c r="T91" s="103">
        <f t="shared" si="75"/>
        <v>11918459.035916001</v>
      </c>
      <c r="U91" s="103">
        <f t="shared" si="75"/>
        <v>12705480.032553634</v>
      </c>
      <c r="V91" s="103">
        <f t="shared" si="75"/>
        <v>130523</v>
      </c>
      <c r="W91" s="103">
        <f t="shared" si="75"/>
        <v>0</v>
      </c>
      <c r="X91" s="103">
        <f t="shared" si="75"/>
        <v>0</v>
      </c>
      <c r="Y91" s="103">
        <f t="shared" si="75"/>
        <v>0</v>
      </c>
      <c r="Z91" s="103">
        <f t="shared" si="75"/>
        <v>0</v>
      </c>
      <c r="AA91" s="103">
        <f t="shared" si="75"/>
        <v>130523</v>
      </c>
      <c r="AB91" s="103">
        <f t="shared" si="75"/>
        <v>95510</v>
      </c>
      <c r="AC91" s="103">
        <f t="shared" si="75"/>
        <v>21013.200000000001</v>
      </c>
      <c r="AD91" s="103">
        <f t="shared" si="75"/>
        <v>116523.2</v>
      </c>
      <c r="AE91" s="103">
        <f t="shared" si="75"/>
        <v>123153.37007999999</v>
      </c>
      <c r="AF91" s="103">
        <f t="shared" si="75"/>
        <v>127562.260728864</v>
      </c>
      <c r="AG91" s="103">
        <f t="shared" si="75"/>
        <v>13999.800000000003</v>
      </c>
      <c r="AH91" s="103">
        <f t="shared" si="75"/>
        <v>14796.400000000003</v>
      </c>
      <c r="AI91" s="103">
        <f t="shared" si="75"/>
        <v>15326.118280000002</v>
      </c>
      <c r="AJ91" s="103">
        <f t="shared" si="75"/>
        <v>0</v>
      </c>
      <c r="AK91" s="103">
        <f t="shared" si="75"/>
        <v>0</v>
      </c>
      <c r="AL91" s="103">
        <f t="shared" si="75"/>
        <v>0</v>
      </c>
      <c r="AM91" s="103">
        <f t="shared" si="75"/>
        <v>137949.77007999999</v>
      </c>
      <c r="AN91" s="103">
        <f t="shared" si="75"/>
        <v>142888.37900886399</v>
      </c>
      <c r="AO91" s="103">
        <f t="shared" si="75"/>
        <v>0</v>
      </c>
      <c r="AP91" s="103">
        <f t="shared" si="75"/>
        <v>11301045</v>
      </c>
      <c r="AQ91" s="243">
        <f t="shared" si="75"/>
        <v>12056408.805996001</v>
      </c>
      <c r="AR91" s="243">
        <f t="shared" si="75"/>
        <v>12848368.411562497</v>
      </c>
    </row>
    <row r="92" spans="1:44" s="18" customFormat="1" ht="24.95" hidden="1" customHeight="1" x14ac:dyDescent="0.2">
      <c r="A92" s="36"/>
      <c r="B92" s="112" t="s">
        <v>189</v>
      </c>
      <c r="C92" s="114"/>
      <c r="D92" s="114" t="s">
        <v>190</v>
      </c>
      <c r="E92" s="114" t="s">
        <v>173</v>
      </c>
      <c r="F92" s="97" t="s">
        <v>191</v>
      </c>
      <c r="G92" s="96">
        <f t="shared" si="56"/>
        <v>3503824</v>
      </c>
      <c r="H92" s="98">
        <v>3503824</v>
      </c>
      <c r="I92" s="98">
        <v>2783556</v>
      </c>
      <c r="J92" s="103">
        <f t="shared" si="65"/>
        <v>612382.31999999995</v>
      </c>
      <c r="K92" s="103">
        <f t="shared" si="66"/>
        <v>3395938.32</v>
      </c>
      <c r="L92" s="103">
        <f t="shared" si="67"/>
        <v>3667613.3856000002</v>
      </c>
      <c r="M92" s="103">
        <f t="shared" si="68"/>
        <v>3950019.6162911998</v>
      </c>
      <c r="N92" s="229">
        <f t="shared" ref="N92:N99" si="76">H92-K92-Q92</f>
        <v>33545.680000000168</v>
      </c>
      <c r="O92" s="229">
        <f t="shared" ref="O92:O99" si="77">N92*77.43%</f>
        <v>25974.420024000134</v>
      </c>
      <c r="P92" s="229">
        <f t="shared" ref="P92:P99" si="78">O92*77.1%</f>
        <v>20026.277838504102</v>
      </c>
      <c r="Q92" s="98">
        <v>74340</v>
      </c>
      <c r="R92" s="98">
        <f t="shared" si="57"/>
        <v>80287.200000000012</v>
      </c>
      <c r="S92" s="98">
        <f t="shared" si="58"/>
        <v>85184.719200000007</v>
      </c>
      <c r="T92" s="150">
        <f t="shared" ref="T92:U99" si="79">L92+O92+R92</f>
        <v>3773875.0056240004</v>
      </c>
      <c r="U92" s="150">
        <f t="shared" si="79"/>
        <v>4055230.6133297039</v>
      </c>
      <c r="V92" s="108">
        <f t="shared" ref="V92:V99" si="80">AA92+W92</f>
        <v>116523</v>
      </c>
      <c r="W92" s="103"/>
      <c r="X92" s="171">
        <f t="shared" ref="X92:Y99" si="81">W92</f>
        <v>0</v>
      </c>
      <c r="Y92" s="171">
        <f t="shared" si="81"/>
        <v>0</v>
      </c>
      <c r="Z92" s="103"/>
      <c r="AA92" s="103">
        <v>116523</v>
      </c>
      <c r="AB92" s="103">
        <v>95510</v>
      </c>
      <c r="AC92" s="98">
        <f>AB92*22%+1</f>
        <v>21013.200000000001</v>
      </c>
      <c r="AD92" s="98">
        <f t="shared" si="60"/>
        <v>116523.2</v>
      </c>
      <c r="AE92" s="98">
        <f>AD92*1.0569</f>
        <v>123153.37007999999</v>
      </c>
      <c r="AF92" s="98">
        <f>AE92*1.0358</f>
        <v>127562.260728864</v>
      </c>
      <c r="AG92" s="98">
        <f t="shared" si="61"/>
        <v>-0.19999999999708962</v>
      </c>
      <c r="AH92" s="98">
        <f>AG92</f>
        <v>-0.19999999999708962</v>
      </c>
      <c r="AI92" s="98">
        <f>AH92</f>
        <v>-0.19999999999708962</v>
      </c>
      <c r="AJ92" s="103"/>
      <c r="AK92" s="98">
        <f t="shared" si="72"/>
        <v>0</v>
      </c>
      <c r="AL92" s="98">
        <f t="shared" si="73"/>
        <v>0</v>
      </c>
      <c r="AM92" s="150">
        <f t="shared" si="62"/>
        <v>123153.17008</v>
      </c>
      <c r="AN92" s="150">
        <f t="shared" si="62"/>
        <v>127562.060728864</v>
      </c>
      <c r="AO92" s="103"/>
      <c r="AP92" s="102">
        <f t="shared" ref="AP92:AP99" si="82">G92+V92</f>
        <v>3620347</v>
      </c>
      <c r="AQ92" s="330">
        <f t="shared" si="63"/>
        <v>3897028.1757040005</v>
      </c>
      <c r="AR92" s="330">
        <f t="shared" si="64"/>
        <v>4182792.6740585677</v>
      </c>
    </row>
    <row r="93" spans="1:44" s="18" customFormat="1" ht="24.95" hidden="1" customHeight="1" x14ac:dyDescent="0.2">
      <c r="A93" s="36"/>
      <c r="B93" s="112" t="s">
        <v>192</v>
      </c>
      <c r="C93" s="114"/>
      <c r="D93" s="114" t="s">
        <v>193</v>
      </c>
      <c r="E93" s="114" t="s">
        <v>194</v>
      </c>
      <c r="F93" s="97" t="s">
        <v>195</v>
      </c>
      <c r="G93" s="96">
        <f t="shared" si="56"/>
        <v>2707415</v>
      </c>
      <c r="H93" s="98">
        <v>2707415</v>
      </c>
      <c r="I93" s="98">
        <v>2005730</v>
      </c>
      <c r="J93" s="103">
        <f t="shared" si="65"/>
        <v>441260.6</v>
      </c>
      <c r="K93" s="103">
        <f t="shared" si="66"/>
        <v>2446990.6</v>
      </c>
      <c r="L93" s="103">
        <f t="shared" si="67"/>
        <v>2642749.8480000002</v>
      </c>
      <c r="M93" s="103">
        <f t="shared" si="68"/>
        <v>2846241.5862960001</v>
      </c>
      <c r="N93" s="229">
        <f t="shared" si="76"/>
        <v>58440.399999999907</v>
      </c>
      <c r="O93" s="229">
        <f t="shared" si="77"/>
        <v>45250.401719999936</v>
      </c>
      <c r="P93" s="229">
        <f t="shared" si="78"/>
        <v>34888.059726119944</v>
      </c>
      <c r="Q93" s="98">
        <v>201984</v>
      </c>
      <c r="R93" s="98">
        <f t="shared" si="57"/>
        <v>218142.72</v>
      </c>
      <c r="S93" s="98">
        <f t="shared" si="58"/>
        <v>231449.42591999998</v>
      </c>
      <c r="T93" s="150">
        <f t="shared" si="79"/>
        <v>2906142.9697200004</v>
      </c>
      <c r="U93" s="150">
        <f t="shared" si="79"/>
        <v>3112579.0719421199</v>
      </c>
      <c r="V93" s="99">
        <f t="shared" si="80"/>
        <v>0</v>
      </c>
      <c r="W93" s="105"/>
      <c r="X93" s="171">
        <f t="shared" si="81"/>
        <v>0</v>
      </c>
      <c r="Y93" s="171">
        <f t="shared" si="81"/>
        <v>0</v>
      </c>
      <c r="Z93" s="105"/>
      <c r="AA93" s="99"/>
      <c r="AB93" s="99"/>
      <c r="AC93" s="98">
        <f t="shared" si="59"/>
        <v>0</v>
      </c>
      <c r="AD93" s="98">
        <f t="shared" si="60"/>
        <v>0</v>
      </c>
      <c r="AE93" s="98">
        <f t="shared" si="69"/>
        <v>0</v>
      </c>
      <c r="AF93" s="98">
        <f t="shared" si="70"/>
        <v>0</v>
      </c>
      <c r="AG93" s="98">
        <f t="shared" si="61"/>
        <v>0</v>
      </c>
      <c r="AH93" s="98">
        <f>AG93</f>
        <v>0</v>
      </c>
      <c r="AI93" s="98">
        <f>AH93</f>
        <v>0</v>
      </c>
      <c r="AJ93" s="105">
        <f>AB93</f>
        <v>0</v>
      </c>
      <c r="AK93" s="98">
        <f t="shared" si="72"/>
        <v>0</v>
      </c>
      <c r="AL93" s="98">
        <f t="shared" si="73"/>
        <v>0</v>
      </c>
      <c r="AM93" s="150">
        <f t="shared" si="62"/>
        <v>0</v>
      </c>
      <c r="AN93" s="150">
        <f t="shared" si="62"/>
        <v>0</v>
      </c>
      <c r="AO93" s="105"/>
      <c r="AP93" s="102">
        <f t="shared" si="82"/>
        <v>2707415</v>
      </c>
      <c r="AQ93" s="330">
        <f t="shared" si="63"/>
        <v>2906142.9697200004</v>
      </c>
      <c r="AR93" s="330">
        <f t="shared" si="64"/>
        <v>3112579.0719421199</v>
      </c>
    </row>
    <row r="94" spans="1:44" s="18" customFormat="1" ht="24.95" hidden="1" customHeight="1" x14ac:dyDescent="0.2">
      <c r="A94" s="36"/>
      <c r="B94" s="112" t="s">
        <v>253</v>
      </c>
      <c r="C94" s="114"/>
      <c r="D94" s="114" t="s">
        <v>254</v>
      </c>
      <c r="E94" s="114" t="s">
        <v>194</v>
      </c>
      <c r="F94" s="97" t="s">
        <v>255</v>
      </c>
      <c r="G94" s="96">
        <f t="shared" si="56"/>
        <v>88165</v>
      </c>
      <c r="H94" s="98">
        <v>88165</v>
      </c>
      <c r="I94" s="98">
        <v>71396</v>
      </c>
      <c r="J94" s="103">
        <f t="shared" si="65"/>
        <v>15707.12</v>
      </c>
      <c r="K94" s="103">
        <f t="shared" si="66"/>
        <v>87103.12</v>
      </c>
      <c r="L94" s="103">
        <f t="shared" si="67"/>
        <v>94071.369600000005</v>
      </c>
      <c r="M94" s="103">
        <f t="shared" si="68"/>
        <v>101314.8650592</v>
      </c>
      <c r="N94" s="229">
        <f t="shared" si="76"/>
        <v>1061.8800000000047</v>
      </c>
      <c r="O94" s="229">
        <f t="shared" si="77"/>
        <v>822.2136840000037</v>
      </c>
      <c r="P94" s="229">
        <f t="shared" si="78"/>
        <v>633.92675036400283</v>
      </c>
      <c r="Q94" s="98"/>
      <c r="R94" s="98">
        <f t="shared" si="57"/>
        <v>0</v>
      </c>
      <c r="S94" s="98">
        <f t="shared" si="58"/>
        <v>0</v>
      </c>
      <c r="T94" s="150">
        <f t="shared" si="79"/>
        <v>94893.583284000008</v>
      </c>
      <c r="U94" s="150">
        <f t="shared" si="79"/>
        <v>101948.79180956401</v>
      </c>
      <c r="V94" s="108">
        <f t="shared" si="80"/>
        <v>1200</v>
      </c>
      <c r="W94" s="103"/>
      <c r="X94" s="171">
        <f t="shared" si="81"/>
        <v>0</v>
      </c>
      <c r="Y94" s="171">
        <f t="shared" si="81"/>
        <v>0</v>
      </c>
      <c r="Z94" s="103"/>
      <c r="AA94" s="108">
        <v>1200</v>
      </c>
      <c r="AB94" s="99"/>
      <c r="AC94" s="98">
        <f t="shared" si="59"/>
        <v>0</v>
      </c>
      <c r="AD94" s="98">
        <f t="shared" si="60"/>
        <v>0</v>
      </c>
      <c r="AE94" s="98">
        <f t="shared" si="69"/>
        <v>0</v>
      </c>
      <c r="AF94" s="98">
        <f t="shared" si="70"/>
        <v>0</v>
      </c>
      <c r="AG94" s="98">
        <f t="shared" si="61"/>
        <v>1200</v>
      </c>
      <c r="AH94" s="98">
        <f>AG94*1.0569</f>
        <v>1268.28</v>
      </c>
      <c r="AI94" s="98">
        <f>AH94*1.0358</f>
        <v>1313.684424</v>
      </c>
      <c r="AJ94" s="105"/>
      <c r="AK94" s="98">
        <f t="shared" si="72"/>
        <v>0</v>
      </c>
      <c r="AL94" s="98">
        <f t="shared" si="73"/>
        <v>0</v>
      </c>
      <c r="AM94" s="150">
        <f t="shared" si="62"/>
        <v>1268.28</v>
      </c>
      <c r="AN94" s="150">
        <f t="shared" si="62"/>
        <v>1313.684424</v>
      </c>
      <c r="AO94" s="105"/>
      <c r="AP94" s="102">
        <f t="shared" si="82"/>
        <v>89365</v>
      </c>
      <c r="AQ94" s="330">
        <f t="shared" si="63"/>
        <v>96161.863284000006</v>
      </c>
      <c r="AR94" s="330">
        <f t="shared" si="64"/>
        <v>103262.47623356401</v>
      </c>
    </row>
    <row r="95" spans="1:44" s="18" customFormat="1" ht="24.95" hidden="1" customHeight="1" x14ac:dyDescent="0.2">
      <c r="A95" s="36"/>
      <c r="B95" s="112" t="s">
        <v>196</v>
      </c>
      <c r="C95" s="114"/>
      <c r="D95" s="114" t="s">
        <v>197</v>
      </c>
      <c r="E95" s="114" t="s">
        <v>198</v>
      </c>
      <c r="F95" s="97" t="s">
        <v>199</v>
      </c>
      <c r="G95" s="96">
        <f t="shared" si="56"/>
        <v>4232227</v>
      </c>
      <c r="H95" s="98">
        <f>1958414+2273813</f>
        <v>4232227</v>
      </c>
      <c r="I95" s="98">
        <f>1388096+1264331</f>
        <v>2652427</v>
      </c>
      <c r="J95" s="103">
        <f t="shared" si="65"/>
        <v>583533.94000000006</v>
      </c>
      <c r="K95" s="103">
        <f t="shared" si="66"/>
        <v>3235960.94</v>
      </c>
      <c r="L95" s="103">
        <f t="shared" si="67"/>
        <v>3494837.8152000001</v>
      </c>
      <c r="M95" s="103">
        <f t="shared" si="68"/>
        <v>3763940.3269703998</v>
      </c>
      <c r="N95" s="229">
        <f t="shared" si="76"/>
        <v>243534.06000000006</v>
      </c>
      <c r="O95" s="229">
        <f>N95*77.43%+17</f>
        <v>188585.42265800005</v>
      </c>
      <c r="P95" s="229">
        <f>O95*77.1%+30</f>
        <v>145429.36086931801</v>
      </c>
      <c r="Q95" s="98">
        <f>152732+600000</f>
        <v>752732</v>
      </c>
      <c r="R95" s="98">
        <f t="shared" si="57"/>
        <v>812950.56</v>
      </c>
      <c r="S95" s="98">
        <f t="shared" si="58"/>
        <v>862540.54416000005</v>
      </c>
      <c r="T95" s="150">
        <f t="shared" si="79"/>
        <v>4496373.7978579998</v>
      </c>
      <c r="U95" s="150">
        <f t="shared" si="79"/>
        <v>4771910.2319997177</v>
      </c>
      <c r="V95" s="108">
        <f t="shared" si="80"/>
        <v>12800</v>
      </c>
      <c r="W95" s="103"/>
      <c r="X95" s="171">
        <f t="shared" si="81"/>
        <v>0</v>
      </c>
      <c r="Y95" s="171">
        <f t="shared" si="81"/>
        <v>0</v>
      </c>
      <c r="Z95" s="103"/>
      <c r="AA95" s="103">
        <v>12800</v>
      </c>
      <c r="AB95" s="105"/>
      <c r="AC95" s="98">
        <f t="shared" si="59"/>
        <v>0</v>
      </c>
      <c r="AD95" s="98">
        <f t="shared" si="60"/>
        <v>0</v>
      </c>
      <c r="AE95" s="98">
        <f t="shared" si="69"/>
        <v>0</v>
      </c>
      <c r="AF95" s="98">
        <f t="shared" si="70"/>
        <v>0</v>
      </c>
      <c r="AG95" s="98">
        <f t="shared" si="61"/>
        <v>12800</v>
      </c>
      <c r="AH95" s="98">
        <f>AG95*1.0569</f>
        <v>13528.32</v>
      </c>
      <c r="AI95" s="98">
        <f>AH95*1.0358</f>
        <v>14012.633856</v>
      </c>
      <c r="AJ95" s="105"/>
      <c r="AK95" s="98">
        <f t="shared" si="72"/>
        <v>0</v>
      </c>
      <c r="AL95" s="98">
        <f t="shared" si="73"/>
        <v>0</v>
      </c>
      <c r="AM95" s="150">
        <f t="shared" si="62"/>
        <v>13528.32</v>
      </c>
      <c r="AN95" s="150">
        <f t="shared" si="62"/>
        <v>14012.633856</v>
      </c>
      <c r="AO95" s="105"/>
      <c r="AP95" s="102">
        <f t="shared" si="82"/>
        <v>4245027</v>
      </c>
      <c r="AQ95" s="330">
        <f t="shared" si="63"/>
        <v>4509902.1178580001</v>
      </c>
      <c r="AR95" s="330">
        <f t="shared" si="64"/>
        <v>4785922.865855718</v>
      </c>
    </row>
    <row r="96" spans="1:44" s="18" customFormat="1" ht="24.95" hidden="1" customHeight="1" x14ac:dyDescent="0.2">
      <c r="A96" s="36"/>
      <c r="B96" s="112" t="s">
        <v>200</v>
      </c>
      <c r="C96" s="114"/>
      <c r="D96" s="114" t="s">
        <v>201</v>
      </c>
      <c r="E96" s="114" t="s">
        <v>202</v>
      </c>
      <c r="F96" s="97" t="s">
        <v>203</v>
      </c>
      <c r="G96" s="96">
        <f t="shared" si="56"/>
        <v>524271</v>
      </c>
      <c r="H96" s="98">
        <v>524271</v>
      </c>
      <c r="I96" s="98">
        <v>408845</v>
      </c>
      <c r="J96" s="103">
        <f t="shared" si="65"/>
        <v>89945.9</v>
      </c>
      <c r="K96" s="103">
        <f t="shared" si="66"/>
        <v>498790.9</v>
      </c>
      <c r="L96" s="103">
        <f t="shared" si="67"/>
        <v>538694.17200000002</v>
      </c>
      <c r="M96" s="103">
        <f t="shared" si="68"/>
        <v>580173.62324400002</v>
      </c>
      <c r="N96" s="229">
        <f t="shared" si="76"/>
        <v>25480.099999999977</v>
      </c>
      <c r="O96" s="229">
        <f t="shared" si="77"/>
        <v>19729.241429999984</v>
      </c>
      <c r="P96" s="229">
        <f t="shared" si="78"/>
        <v>15211.245142529986</v>
      </c>
      <c r="Q96" s="98"/>
      <c r="R96" s="98">
        <f t="shared" si="57"/>
        <v>0</v>
      </c>
      <c r="S96" s="98">
        <f t="shared" si="58"/>
        <v>0</v>
      </c>
      <c r="T96" s="150">
        <f t="shared" si="79"/>
        <v>558423.41342999996</v>
      </c>
      <c r="U96" s="150">
        <f t="shared" si="79"/>
        <v>595384.86838652997</v>
      </c>
      <c r="V96" s="99">
        <f t="shared" si="80"/>
        <v>0</v>
      </c>
      <c r="W96" s="105"/>
      <c r="X96" s="171">
        <f t="shared" si="81"/>
        <v>0</v>
      </c>
      <c r="Y96" s="171">
        <f t="shared" si="81"/>
        <v>0</v>
      </c>
      <c r="Z96" s="105"/>
      <c r="AA96" s="105"/>
      <c r="AB96" s="105"/>
      <c r="AC96" s="98">
        <f t="shared" si="59"/>
        <v>0</v>
      </c>
      <c r="AD96" s="98">
        <f t="shared" si="60"/>
        <v>0</v>
      </c>
      <c r="AE96" s="98">
        <f t="shared" si="69"/>
        <v>0</v>
      </c>
      <c r="AF96" s="98">
        <f t="shared" si="70"/>
        <v>0</v>
      </c>
      <c r="AG96" s="98">
        <f t="shared" si="61"/>
        <v>0</v>
      </c>
      <c r="AH96" s="98">
        <f t="shared" ref="AH96:AI99" si="83">AG96</f>
        <v>0</v>
      </c>
      <c r="AI96" s="98">
        <f t="shared" si="83"/>
        <v>0</v>
      </c>
      <c r="AJ96" s="105">
        <f>AB96</f>
        <v>0</v>
      </c>
      <c r="AK96" s="98">
        <f t="shared" si="72"/>
        <v>0</v>
      </c>
      <c r="AL96" s="98">
        <f t="shared" si="73"/>
        <v>0</v>
      </c>
      <c r="AM96" s="150">
        <f t="shared" si="62"/>
        <v>0</v>
      </c>
      <c r="AN96" s="150">
        <f t="shared" si="62"/>
        <v>0</v>
      </c>
      <c r="AO96" s="105">
        <f>AB96</f>
        <v>0</v>
      </c>
      <c r="AP96" s="102">
        <f t="shared" si="82"/>
        <v>524271</v>
      </c>
      <c r="AQ96" s="330">
        <f t="shared" si="63"/>
        <v>558423.41342999996</v>
      </c>
      <c r="AR96" s="330">
        <f t="shared" si="64"/>
        <v>595384.86838652997</v>
      </c>
    </row>
    <row r="97" spans="1:44" s="18" customFormat="1" ht="24.95" hidden="1" customHeight="1" x14ac:dyDescent="0.2">
      <c r="A97" s="36"/>
      <c r="B97" s="112" t="s">
        <v>204</v>
      </c>
      <c r="C97" s="114"/>
      <c r="D97" s="114" t="s">
        <v>205</v>
      </c>
      <c r="E97" s="114" t="s">
        <v>202</v>
      </c>
      <c r="F97" s="97" t="s">
        <v>206</v>
      </c>
      <c r="G97" s="96">
        <f t="shared" si="56"/>
        <v>39620</v>
      </c>
      <c r="H97" s="98">
        <v>39620</v>
      </c>
      <c r="I97" s="98"/>
      <c r="J97" s="103">
        <f t="shared" si="65"/>
        <v>0</v>
      </c>
      <c r="K97" s="103">
        <f t="shared" si="66"/>
        <v>0</v>
      </c>
      <c r="L97" s="103">
        <f t="shared" si="67"/>
        <v>0</v>
      </c>
      <c r="M97" s="103">
        <f t="shared" si="68"/>
        <v>0</v>
      </c>
      <c r="N97" s="229">
        <f t="shared" si="76"/>
        <v>39620</v>
      </c>
      <c r="O97" s="229">
        <f t="shared" si="77"/>
        <v>30677.766000000003</v>
      </c>
      <c r="P97" s="229">
        <f t="shared" si="78"/>
        <v>23652.557585999999</v>
      </c>
      <c r="Q97" s="98"/>
      <c r="R97" s="98">
        <f t="shared" si="57"/>
        <v>0</v>
      </c>
      <c r="S97" s="98">
        <f t="shared" si="58"/>
        <v>0</v>
      </c>
      <c r="T97" s="150">
        <f t="shared" si="79"/>
        <v>30677.766000000003</v>
      </c>
      <c r="U97" s="150">
        <f t="shared" si="79"/>
        <v>23652.557585999999</v>
      </c>
      <c r="V97" s="99">
        <f t="shared" si="80"/>
        <v>0</v>
      </c>
      <c r="W97" s="99"/>
      <c r="X97" s="171">
        <f t="shared" si="81"/>
        <v>0</v>
      </c>
      <c r="Y97" s="171">
        <f t="shared" si="81"/>
        <v>0</v>
      </c>
      <c r="Z97" s="99"/>
      <c r="AA97" s="99"/>
      <c r="AB97" s="99"/>
      <c r="AC97" s="98">
        <f t="shared" si="59"/>
        <v>0</v>
      </c>
      <c r="AD97" s="98">
        <f t="shared" si="60"/>
        <v>0</v>
      </c>
      <c r="AE97" s="98">
        <f t="shared" si="69"/>
        <v>0</v>
      </c>
      <c r="AF97" s="98">
        <f t="shared" si="70"/>
        <v>0</v>
      </c>
      <c r="AG97" s="98">
        <f t="shared" si="61"/>
        <v>0</v>
      </c>
      <c r="AH97" s="98">
        <f t="shared" si="83"/>
        <v>0</v>
      </c>
      <c r="AI97" s="98">
        <f t="shared" si="83"/>
        <v>0</v>
      </c>
      <c r="AJ97" s="99"/>
      <c r="AK97" s="98">
        <f t="shared" si="72"/>
        <v>0</v>
      </c>
      <c r="AL97" s="98">
        <f t="shared" si="73"/>
        <v>0</v>
      </c>
      <c r="AM97" s="150">
        <f t="shared" si="62"/>
        <v>0</v>
      </c>
      <c r="AN97" s="150">
        <f t="shared" si="62"/>
        <v>0</v>
      </c>
      <c r="AO97" s="99"/>
      <c r="AP97" s="102">
        <f t="shared" si="82"/>
        <v>39620</v>
      </c>
      <c r="AQ97" s="330">
        <f t="shared" si="63"/>
        <v>30677.766000000003</v>
      </c>
      <c r="AR97" s="330">
        <f t="shared" si="64"/>
        <v>23652.557585999999</v>
      </c>
    </row>
    <row r="98" spans="1:44" s="185" customFormat="1" ht="24.95" hidden="1" customHeight="1" x14ac:dyDescent="0.2">
      <c r="A98" s="153"/>
      <c r="B98" s="180" t="s">
        <v>207</v>
      </c>
      <c r="C98" s="181"/>
      <c r="D98" s="181" t="s">
        <v>208</v>
      </c>
      <c r="E98" s="181" t="s">
        <v>119</v>
      </c>
      <c r="F98" s="182" t="s">
        <v>209</v>
      </c>
      <c r="G98" s="149">
        <f t="shared" si="56"/>
        <v>49000</v>
      </c>
      <c r="H98" s="150">
        <v>49000</v>
      </c>
      <c r="I98" s="150"/>
      <c r="J98" s="183">
        <f t="shared" si="65"/>
        <v>0</v>
      </c>
      <c r="K98" s="103">
        <f t="shared" si="66"/>
        <v>0</v>
      </c>
      <c r="L98" s="103">
        <f t="shared" si="67"/>
        <v>0</v>
      </c>
      <c r="M98" s="103">
        <f t="shared" si="68"/>
        <v>0</v>
      </c>
      <c r="N98" s="229">
        <f t="shared" si="76"/>
        <v>49000</v>
      </c>
      <c r="O98" s="229">
        <f t="shared" si="77"/>
        <v>37940.700000000004</v>
      </c>
      <c r="P98" s="229">
        <f t="shared" si="78"/>
        <v>29252.279699999999</v>
      </c>
      <c r="Q98" s="150"/>
      <c r="R98" s="150">
        <f t="shared" si="57"/>
        <v>0</v>
      </c>
      <c r="S98" s="150">
        <f t="shared" si="58"/>
        <v>0</v>
      </c>
      <c r="T98" s="150">
        <f t="shared" si="79"/>
        <v>37940.700000000004</v>
      </c>
      <c r="U98" s="150">
        <f t="shared" si="79"/>
        <v>29252.279699999999</v>
      </c>
      <c r="V98" s="160">
        <f t="shared" si="80"/>
        <v>0</v>
      </c>
      <c r="W98" s="122"/>
      <c r="X98" s="171">
        <f t="shared" si="81"/>
        <v>0</v>
      </c>
      <c r="Y98" s="171">
        <f t="shared" si="81"/>
        <v>0</v>
      </c>
      <c r="Z98" s="122"/>
      <c r="AA98" s="122"/>
      <c r="AB98" s="122"/>
      <c r="AC98" s="150">
        <f t="shared" si="59"/>
        <v>0</v>
      </c>
      <c r="AD98" s="150">
        <f t="shared" si="60"/>
        <v>0</v>
      </c>
      <c r="AE98" s="150">
        <f t="shared" si="69"/>
        <v>0</v>
      </c>
      <c r="AF98" s="150">
        <f t="shared" si="70"/>
        <v>0</v>
      </c>
      <c r="AG98" s="150">
        <f t="shared" si="61"/>
        <v>0</v>
      </c>
      <c r="AH98" s="98">
        <f t="shared" si="83"/>
        <v>0</v>
      </c>
      <c r="AI98" s="98">
        <f t="shared" si="83"/>
        <v>0</v>
      </c>
      <c r="AJ98" s="122"/>
      <c r="AK98" s="150">
        <f t="shared" si="72"/>
        <v>0</v>
      </c>
      <c r="AL98" s="150">
        <f t="shared" si="73"/>
        <v>0</v>
      </c>
      <c r="AM98" s="150">
        <f t="shared" si="62"/>
        <v>0</v>
      </c>
      <c r="AN98" s="150">
        <f t="shared" si="62"/>
        <v>0</v>
      </c>
      <c r="AO98" s="122"/>
      <c r="AP98" s="184">
        <f t="shared" si="82"/>
        <v>49000</v>
      </c>
      <c r="AQ98" s="330">
        <f t="shared" si="63"/>
        <v>37940.700000000004</v>
      </c>
      <c r="AR98" s="330">
        <f t="shared" si="64"/>
        <v>29252.279699999999</v>
      </c>
    </row>
    <row r="99" spans="1:44" s="185" customFormat="1" ht="24.95" hidden="1" customHeight="1" thickBot="1" x14ac:dyDescent="0.25">
      <c r="A99" s="153"/>
      <c r="B99" s="186" t="s">
        <v>210</v>
      </c>
      <c r="C99" s="187"/>
      <c r="D99" s="187" t="s">
        <v>211</v>
      </c>
      <c r="E99" s="187" t="s">
        <v>212</v>
      </c>
      <c r="F99" s="188" t="s">
        <v>213</v>
      </c>
      <c r="G99" s="149">
        <f t="shared" si="56"/>
        <v>26000</v>
      </c>
      <c r="H99" s="189">
        <v>26000</v>
      </c>
      <c r="I99" s="189"/>
      <c r="J99" s="183">
        <f t="shared" si="65"/>
        <v>0</v>
      </c>
      <c r="K99" s="103">
        <f t="shared" si="66"/>
        <v>0</v>
      </c>
      <c r="L99" s="103">
        <f t="shared" si="67"/>
        <v>0</v>
      </c>
      <c r="M99" s="103">
        <f t="shared" si="68"/>
        <v>0</v>
      </c>
      <c r="N99" s="229">
        <f t="shared" si="76"/>
        <v>26000</v>
      </c>
      <c r="O99" s="229">
        <f t="shared" si="77"/>
        <v>20131.800000000003</v>
      </c>
      <c r="P99" s="229">
        <f t="shared" si="78"/>
        <v>15521.6178</v>
      </c>
      <c r="Q99" s="189"/>
      <c r="R99" s="150">
        <f t="shared" si="57"/>
        <v>0</v>
      </c>
      <c r="S99" s="150">
        <f t="shared" si="58"/>
        <v>0</v>
      </c>
      <c r="T99" s="150">
        <f t="shared" si="79"/>
        <v>20131.800000000003</v>
      </c>
      <c r="U99" s="150">
        <f t="shared" si="79"/>
        <v>15521.6178</v>
      </c>
      <c r="V99" s="190">
        <f t="shared" si="80"/>
        <v>0</v>
      </c>
      <c r="W99" s="191"/>
      <c r="X99" s="171">
        <f t="shared" si="81"/>
        <v>0</v>
      </c>
      <c r="Y99" s="171">
        <f t="shared" si="81"/>
        <v>0</v>
      </c>
      <c r="Z99" s="191"/>
      <c r="AA99" s="191"/>
      <c r="AB99" s="191"/>
      <c r="AC99" s="150">
        <f t="shared" si="59"/>
        <v>0</v>
      </c>
      <c r="AD99" s="150">
        <f t="shared" si="60"/>
        <v>0</v>
      </c>
      <c r="AE99" s="150">
        <f t="shared" si="69"/>
        <v>0</v>
      </c>
      <c r="AF99" s="150">
        <f t="shared" si="70"/>
        <v>0</v>
      </c>
      <c r="AG99" s="150">
        <f t="shared" si="61"/>
        <v>0</v>
      </c>
      <c r="AH99" s="98">
        <f t="shared" si="83"/>
        <v>0</v>
      </c>
      <c r="AI99" s="98">
        <f t="shared" si="83"/>
        <v>0</v>
      </c>
      <c r="AJ99" s="191"/>
      <c r="AK99" s="150">
        <f t="shared" si="72"/>
        <v>0</v>
      </c>
      <c r="AL99" s="150">
        <f t="shared" si="73"/>
        <v>0</v>
      </c>
      <c r="AM99" s="150">
        <f t="shared" si="62"/>
        <v>0</v>
      </c>
      <c r="AN99" s="150">
        <f t="shared" si="62"/>
        <v>0</v>
      </c>
      <c r="AO99" s="191"/>
      <c r="AP99" s="192">
        <f t="shared" si="82"/>
        <v>26000</v>
      </c>
      <c r="AQ99" s="330">
        <f t="shared" si="63"/>
        <v>20131.800000000003</v>
      </c>
      <c r="AR99" s="330">
        <f t="shared" si="64"/>
        <v>15521.6178</v>
      </c>
    </row>
    <row r="100" spans="1:44" s="18" customFormat="1" ht="24.95" hidden="1" customHeight="1" thickBot="1" x14ac:dyDescent="0.25">
      <c r="A100" s="36"/>
      <c r="B100" s="123" t="s">
        <v>256</v>
      </c>
      <c r="C100" s="124" t="s">
        <v>256</v>
      </c>
      <c r="D100" s="125" t="s">
        <v>256</v>
      </c>
      <c r="E100" s="125" t="s">
        <v>256</v>
      </c>
      <c r="F100" s="126" t="s">
        <v>257</v>
      </c>
      <c r="G100" s="127">
        <f>G13+G68+G90</f>
        <v>141307718</v>
      </c>
      <c r="H100" s="127">
        <f>H13+H68+H90</f>
        <v>141207718</v>
      </c>
      <c r="I100" s="127">
        <f>I13+I68+I90</f>
        <v>89831719</v>
      </c>
      <c r="J100" s="127">
        <f t="shared" ref="J100:P100" si="84">J13+J68+J90</f>
        <v>19762978.18</v>
      </c>
      <c r="K100" s="127">
        <f t="shared" si="84"/>
        <v>109594697.18000001</v>
      </c>
      <c r="L100" s="127">
        <f t="shared" si="84"/>
        <v>116893742.95439997</v>
      </c>
      <c r="M100" s="127">
        <f t="shared" si="84"/>
        <v>123114231.81188878</v>
      </c>
      <c r="N100" s="351">
        <f t="shared" si="84"/>
        <v>18794320.820000004</v>
      </c>
      <c r="O100" s="351">
        <f t="shared" si="84"/>
        <v>11867969.360926006</v>
      </c>
      <c r="P100" s="351">
        <f t="shared" si="84"/>
        <v>9151017.3772739489</v>
      </c>
      <c r="Q100" s="127">
        <f t="shared" ref="Q100:V100" si="85">Q13+Q68+Q90</f>
        <v>12818700</v>
      </c>
      <c r="R100" s="127">
        <f t="shared" si="85"/>
        <v>13844196</v>
      </c>
      <c r="S100" s="127">
        <f t="shared" si="85"/>
        <v>14688691.956000002</v>
      </c>
      <c r="T100" s="151">
        <f t="shared" si="85"/>
        <v>142705908.31532601</v>
      </c>
      <c r="U100" s="151">
        <f t="shared" si="85"/>
        <v>147053941.14516273</v>
      </c>
      <c r="V100" s="151">
        <f t="shared" si="85"/>
        <v>3848194</v>
      </c>
      <c r="W100" s="129">
        <f t="shared" ref="W100:AR100" si="86">W13+W68+W90</f>
        <v>2330197</v>
      </c>
      <c r="X100" s="129">
        <f t="shared" si="86"/>
        <v>237097.44099999999</v>
      </c>
      <c r="Y100" s="129">
        <f t="shared" si="86"/>
        <v>244089.41049099999</v>
      </c>
      <c r="Z100" s="129">
        <f t="shared" si="86"/>
        <v>2230197</v>
      </c>
      <c r="AA100" s="129">
        <f t="shared" si="86"/>
        <v>1517997</v>
      </c>
      <c r="AB100" s="129">
        <f t="shared" si="86"/>
        <v>206965</v>
      </c>
      <c r="AC100" s="129">
        <f t="shared" si="86"/>
        <v>45533.3</v>
      </c>
      <c r="AD100" s="129">
        <f t="shared" si="86"/>
        <v>252498.3</v>
      </c>
      <c r="AE100" s="129">
        <f t="shared" si="86"/>
        <v>266865.45327</v>
      </c>
      <c r="AF100" s="129">
        <f t="shared" si="86"/>
        <v>276419.23649706598</v>
      </c>
      <c r="AG100" s="129">
        <f t="shared" si="86"/>
        <v>3579618.6999999997</v>
      </c>
      <c r="AH100" s="129">
        <f t="shared" si="86"/>
        <v>1555439.8695099999</v>
      </c>
      <c r="AI100" s="129">
        <f t="shared" si="86"/>
        <v>1608569.1875710001</v>
      </c>
      <c r="AJ100" s="129">
        <f t="shared" si="86"/>
        <v>16077</v>
      </c>
      <c r="AK100" s="129">
        <f t="shared" si="86"/>
        <v>16991.781299999999</v>
      </c>
      <c r="AL100" s="129">
        <f t="shared" si="86"/>
        <v>17600.087070540001</v>
      </c>
      <c r="AM100" s="336">
        <f t="shared" si="86"/>
        <v>1839297.10408</v>
      </c>
      <c r="AN100" s="336">
        <f t="shared" si="86"/>
        <v>1902588.5111386061</v>
      </c>
      <c r="AO100" s="129">
        <f t="shared" si="86"/>
        <v>2330197</v>
      </c>
      <c r="AP100" s="129">
        <f t="shared" si="86"/>
        <v>145155912</v>
      </c>
      <c r="AQ100" s="331">
        <f t="shared" si="86"/>
        <v>144545205.419406</v>
      </c>
      <c r="AR100" s="331">
        <f t="shared" si="86"/>
        <v>148956529.65630135</v>
      </c>
    </row>
    <row r="101" spans="1:44" s="18" customFormat="1" ht="24.95" hidden="1" customHeight="1" thickBot="1" x14ac:dyDescent="0.25">
      <c r="A101" s="36"/>
      <c r="B101" s="123" t="s">
        <v>256</v>
      </c>
      <c r="C101" s="124" t="s">
        <v>256</v>
      </c>
      <c r="D101" s="125" t="s">
        <v>256</v>
      </c>
      <c r="E101" s="125" t="s">
        <v>256</v>
      </c>
      <c r="F101" s="126" t="s">
        <v>258</v>
      </c>
      <c r="G101" s="127">
        <f>G70+G61</f>
        <v>39805000</v>
      </c>
      <c r="H101" s="127">
        <f>H70+H61</f>
        <v>39805000</v>
      </c>
      <c r="I101" s="127">
        <f t="shared" ref="I101:AR101" si="87">I70+I61</f>
        <v>29784836</v>
      </c>
      <c r="J101" s="127">
        <f t="shared" si="87"/>
        <v>6552663.9199999999</v>
      </c>
      <c r="K101" s="127">
        <f t="shared" si="87"/>
        <v>36337499.920000002</v>
      </c>
      <c r="L101" s="127">
        <f t="shared" si="87"/>
        <v>41063400</v>
      </c>
      <c r="M101" s="127">
        <f t="shared" si="87"/>
        <v>43802100</v>
      </c>
      <c r="N101" s="351">
        <f t="shared" si="87"/>
        <v>3467500.0799999982</v>
      </c>
      <c r="O101" s="351">
        <f t="shared" si="87"/>
        <v>7.9999998211860657E-2</v>
      </c>
      <c r="P101" s="351">
        <f t="shared" si="87"/>
        <v>7.9999998211860657E-2</v>
      </c>
      <c r="Q101" s="127">
        <f t="shared" si="87"/>
        <v>0</v>
      </c>
      <c r="R101" s="127">
        <f t="shared" si="87"/>
        <v>0</v>
      </c>
      <c r="S101" s="127">
        <f t="shared" si="87"/>
        <v>0</v>
      </c>
      <c r="T101" s="151">
        <f t="shared" si="87"/>
        <v>41063400.079999998</v>
      </c>
      <c r="U101" s="151">
        <f t="shared" si="87"/>
        <v>43802100.079999998</v>
      </c>
      <c r="V101" s="127">
        <f t="shared" si="87"/>
        <v>0</v>
      </c>
      <c r="W101" s="127">
        <f t="shared" si="87"/>
        <v>0</v>
      </c>
      <c r="X101" s="127">
        <f t="shared" si="87"/>
        <v>0</v>
      </c>
      <c r="Y101" s="127">
        <f t="shared" si="87"/>
        <v>0</v>
      </c>
      <c r="Z101" s="127">
        <f t="shared" si="87"/>
        <v>0</v>
      </c>
      <c r="AA101" s="127">
        <f t="shared" si="87"/>
        <v>0</v>
      </c>
      <c r="AB101" s="127">
        <f t="shared" si="87"/>
        <v>0</v>
      </c>
      <c r="AC101" s="127">
        <f t="shared" si="87"/>
        <v>0</v>
      </c>
      <c r="AD101" s="127">
        <f t="shared" si="87"/>
        <v>0</v>
      </c>
      <c r="AE101" s="127">
        <f t="shared" si="87"/>
        <v>0</v>
      </c>
      <c r="AF101" s="127">
        <f t="shared" si="87"/>
        <v>0</v>
      </c>
      <c r="AG101" s="127">
        <f t="shared" si="87"/>
        <v>0</v>
      </c>
      <c r="AH101" s="98">
        <f>AG101</f>
        <v>0</v>
      </c>
      <c r="AI101" s="98">
        <f>AH101</f>
        <v>0</v>
      </c>
      <c r="AJ101" s="127">
        <f t="shared" si="87"/>
        <v>0</v>
      </c>
      <c r="AK101" s="127">
        <f t="shared" si="87"/>
        <v>0</v>
      </c>
      <c r="AL101" s="127">
        <f t="shared" si="87"/>
        <v>0</v>
      </c>
      <c r="AM101" s="151">
        <f t="shared" si="87"/>
        <v>0</v>
      </c>
      <c r="AN101" s="151">
        <f t="shared" si="87"/>
        <v>0</v>
      </c>
      <c r="AO101" s="127">
        <f t="shared" si="87"/>
        <v>0</v>
      </c>
      <c r="AP101" s="127">
        <f t="shared" si="87"/>
        <v>39805000</v>
      </c>
      <c r="AQ101" s="332">
        <f t="shared" si="87"/>
        <v>41063400.079999998</v>
      </c>
      <c r="AR101" s="332">
        <f t="shared" si="87"/>
        <v>43802100.079999998</v>
      </c>
    </row>
    <row r="102" spans="1:44" s="18" customFormat="1" ht="24.95" hidden="1" customHeight="1" thickBot="1" x14ac:dyDescent="0.25">
      <c r="A102" s="36"/>
      <c r="B102" s="123" t="s">
        <v>256</v>
      </c>
      <c r="C102" s="124" t="s">
        <v>256</v>
      </c>
      <c r="D102" s="125" t="s">
        <v>256</v>
      </c>
      <c r="E102" s="125" t="s">
        <v>256</v>
      </c>
      <c r="F102" s="126" t="s">
        <v>259</v>
      </c>
      <c r="G102" s="127">
        <f>G17+G71+G72</f>
        <v>1300596</v>
      </c>
      <c r="H102" s="127">
        <f t="shared" ref="H102:AR102" si="88">H17+H71+H72</f>
        <v>1300596</v>
      </c>
      <c r="I102" s="127">
        <f t="shared" si="88"/>
        <v>1044696</v>
      </c>
      <c r="J102" s="127">
        <f t="shared" si="88"/>
        <v>229832.12</v>
      </c>
      <c r="K102" s="127">
        <f t="shared" si="88"/>
        <v>1274528.1199999999</v>
      </c>
      <c r="L102" s="127">
        <f t="shared" si="88"/>
        <v>1342076.8584199999</v>
      </c>
      <c r="M102" s="127">
        <f t="shared" si="88"/>
        <v>1410516.7881994201</v>
      </c>
      <c r="N102" s="351">
        <f t="shared" si="88"/>
        <v>20531.880000000005</v>
      </c>
      <c r="O102" s="351">
        <f t="shared" si="88"/>
        <v>21620.013041999995</v>
      </c>
      <c r="P102" s="351">
        <f t="shared" si="88"/>
        <v>22725.591483119992</v>
      </c>
      <c r="Q102" s="127">
        <f t="shared" si="88"/>
        <v>5537</v>
      </c>
      <c r="R102" s="127">
        <f t="shared" si="88"/>
        <v>5830.4609999999993</v>
      </c>
      <c r="S102" s="127">
        <f t="shared" si="88"/>
        <v>6127.8145109999987</v>
      </c>
      <c r="T102" s="151">
        <f t="shared" si="88"/>
        <v>1369527.3324620002</v>
      </c>
      <c r="U102" s="151">
        <f t="shared" si="88"/>
        <v>1439370.1941935401</v>
      </c>
      <c r="V102" s="127">
        <f t="shared" si="88"/>
        <v>130197</v>
      </c>
      <c r="W102" s="127">
        <f t="shared" si="88"/>
        <v>130197</v>
      </c>
      <c r="X102" s="127">
        <f t="shared" si="88"/>
        <v>137097.44099999999</v>
      </c>
      <c r="Y102" s="127">
        <f t="shared" si="88"/>
        <v>144089.41049099999</v>
      </c>
      <c r="Z102" s="127">
        <f t="shared" si="88"/>
        <v>130197</v>
      </c>
      <c r="AA102" s="127">
        <f t="shared" si="88"/>
        <v>0</v>
      </c>
      <c r="AB102" s="127">
        <f t="shared" si="88"/>
        <v>0</v>
      </c>
      <c r="AC102" s="127">
        <f t="shared" si="88"/>
        <v>0</v>
      </c>
      <c r="AD102" s="127">
        <f t="shared" si="88"/>
        <v>0</v>
      </c>
      <c r="AE102" s="127">
        <f t="shared" si="88"/>
        <v>0</v>
      </c>
      <c r="AF102" s="127">
        <f t="shared" si="88"/>
        <v>0</v>
      </c>
      <c r="AG102" s="127">
        <f t="shared" si="88"/>
        <v>130197</v>
      </c>
      <c r="AH102" s="127">
        <f t="shared" si="88"/>
        <v>137097.44099999999</v>
      </c>
      <c r="AI102" s="127">
        <f t="shared" si="88"/>
        <v>144089.41049099999</v>
      </c>
      <c r="AJ102" s="127">
        <f t="shared" si="88"/>
        <v>0</v>
      </c>
      <c r="AK102" s="127">
        <f t="shared" si="88"/>
        <v>0</v>
      </c>
      <c r="AL102" s="127">
        <f t="shared" si="88"/>
        <v>0</v>
      </c>
      <c r="AM102" s="151">
        <f t="shared" si="88"/>
        <v>137097.44099999999</v>
      </c>
      <c r="AN102" s="151">
        <f t="shared" si="88"/>
        <v>144089.41049099999</v>
      </c>
      <c r="AO102" s="127">
        <f t="shared" si="88"/>
        <v>130197</v>
      </c>
      <c r="AP102" s="131">
        <f t="shared" si="88"/>
        <v>1430793</v>
      </c>
      <c r="AQ102" s="333">
        <f t="shared" si="88"/>
        <v>1506624.7734620001</v>
      </c>
      <c r="AR102" s="333">
        <f t="shared" si="88"/>
        <v>1583459.6046845401</v>
      </c>
    </row>
    <row r="103" spans="1:44" s="18" customFormat="1" ht="24.95" hidden="1" customHeight="1" x14ac:dyDescent="0.2">
      <c r="A103" s="36"/>
      <c r="B103" s="16"/>
      <c r="C103" s="36"/>
      <c r="D103" s="36"/>
      <c r="E103" s="36"/>
      <c r="F103" s="36"/>
      <c r="G103" s="132" t="s">
        <v>260</v>
      </c>
      <c r="H103" s="133"/>
      <c r="I103" s="133"/>
      <c r="J103" s="133"/>
      <c r="K103" s="133"/>
      <c r="L103" s="133"/>
      <c r="M103" s="133"/>
      <c r="N103" s="352"/>
      <c r="O103" s="352"/>
      <c r="P103" s="352"/>
      <c r="Q103" s="133"/>
      <c r="R103" s="133"/>
      <c r="S103" s="133"/>
      <c r="T103" s="152"/>
      <c r="U103" s="152"/>
      <c r="V103" s="134"/>
      <c r="W103" s="134"/>
      <c r="X103" s="172"/>
      <c r="Y103" s="172"/>
      <c r="Z103" s="134"/>
      <c r="AA103" s="134"/>
      <c r="AB103" s="134"/>
      <c r="AC103" s="141"/>
      <c r="AD103" s="141"/>
      <c r="AE103" s="141"/>
      <c r="AF103" s="141"/>
      <c r="AG103" s="141"/>
      <c r="AH103" s="141"/>
      <c r="AI103" s="141"/>
      <c r="AJ103" s="135"/>
      <c r="AK103" s="135"/>
      <c r="AL103" s="135"/>
      <c r="AM103" s="162"/>
      <c r="AN103" s="162"/>
      <c r="AO103" s="136"/>
      <c r="AP103" s="138">
        <f>AP100-'[1]Дод 1'!C90</f>
        <v>0</v>
      </c>
      <c r="AQ103" s="247"/>
      <c r="AR103" s="247"/>
    </row>
    <row r="104" spans="1:44" ht="24.95" hidden="1" customHeight="1" x14ac:dyDescent="0.2">
      <c r="G104" s="61">
        <f>G100-'[1]Дод 1'!D90</f>
        <v>-2230197</v>
      </c>
      <c r="H104" s="61"/>
      <c r="V104" s="139"/>
    </row>
    <row r="105" spans="1:44" ht="24.95" hidden="1" customHeight="1" x14ac:dyDescent="0.2">
      <c r="G105" s="61">
        <f>G104+V105</f>
        <v>0</v>
      </c>
      <c r="V105" s="139">
        <f>V100-'[1]Дод 1'!E90</f>
        <v>2230197</v>
      </c>
    </row>
    <row r="106" spans="1:44" ht="24.95" hidden="1" customHeight="1" x14ac:dyDescent="0.2"/>
    <row r="107" spans="1:44" ht="24.95" hidden="1" customHeight="1" x14ac:dyDescent="0.2"/>
    <row r="108" spans="1:44" ht="24.95" hidden="1" customHeight="1" x14ac:dyDescent="0.2"/>
    <row r="109" spans="1:44" ht="24.95" hidden="1" customHeight="1" x14ac:dyDescent="0.2"/>
    <row r="110" spans="1:44" ht="24.95" hidden="1" customHeight="1" x14ac:dyDescent="0.3">
      <c r="S110" s="16" t="s">
        <v>385</v>
      </c>
      <c r="T110" s="323" t="s">
        <v>383</v>
      </c>
      <c r="U110" s="322">
        <f>T100+AM100</f>
        <v>144545205.419406</v>
      </c>
      <c r="V110" s="324" t="s">
        <v>386</v>
      </c>
      <c r="W110" s="140">
        <f>' дод.1'!E24</f>
        <v>153316372</v>
      </c>
      <c r="Y110" s="325">
        <f>W110-U110</f>
        <v>8771166.5805940032</v>
      </c>
    </row>
    <row r="111" spans="1:44" ht="24.95" hidden="1" customHeight="1" x14ac:dyDescent="0.3">
      <c r="S111" s="16" t="s">
        <v>385</v>
      </c>
      <c r="T111" s="323" t="s">
        <v>384</v>
      </c>
      <c r="U111" s="322">
        <f>U100+AN100</f>
        <v>148956529.65630135</v>
      </c>
      <c r="V111" s="324" t="s">
        <v>386</v>
      </c>
      <c r="W111" s="140">
        <f>' дод.1'!F24</f>
        <v>160519509</v>
      </c>
      <c r="Y111" s="325">
        <f>W111-U111</f>
        <v>11562979.343698651</v>
      </c>
    </row>
    <row r="112" spans="1:44" ht="24.95" hidden="1" customHeight="1" x14ac:dyDescent="0.2"/>
    <row r="113" spans="19:25" ht="24.95" hidden="1" customHeight="1" x14ac:dyDescent="0.2"/>
    <row r="114" spans="19:25" ht="24.95" hidden="1" customHeight="1" x14ac:dyDescent="0.25">
      <c r="S114" s="16" t="s">
        <v>389</v>
      </c>
      <c r="T114" s="153" t="s">
        <v>383</v>
      </c>
      <c r="U114" s="322">
        <f>T100</f>
        <v>142705908.31532601</v>
      </c>
      <c r="V114" s="324" t="s">
        <v>386</v>
      </c>
      <c r="W114" s="140">
        <f>' дод.1'!E10</f>
        <v>151655872</v>
      </c>
      <c r="Y114" s="344">
        <f>U114-W114</f>
        <v>-8949963.6846739948</v>
      </c>
    </row>
    <row r="115" spans="19:25" ht="24.95" hidden="1" customHeight="1" x14ac:dyDescent="0.25">
      <c r="T115" s="153" t="s">
        <v>384</v>
      </c>
      <c r="U115" s="322">
        <f>U100</f>
        <v>147053941.14516273</v>
      </c>
      <c r="V115" s="324" t="s">
        <v>386</v>
      </c>
      <c r="W115" s="140">
        <f>' дод.1'!F10</f>
        <v>158749309</v>
      </c>
      <c r="Y115" s="344">
        <f>U115-W115</f>
        <v>-11695367.854837269</v>
      </c>
    </row>
    <row r="116" spans="19:25" ht="24.95" hidden="1" customHeight="1" x14ac:dyDescent="0.2"/>
    <row r="117" spans="19:25" ht="24.95" hidden="1" customHeight="1" x14ac:dyDescent="0.2"/>
    <row r="118" spans="19:25" ht="24.95" hidden="1" customHeight="1" x14ac:dyDescent="0.2">
      <c r="S118" s="16" t="s">
        <v>390</v>
      </c>
      <c r="T118" s="153" t="s">
        <v>383</v>
      </c>
      <c r="U118" s="322">
        <f>AM100</f>
        <v>1839297.10408</v>
      </c>
      <c r="V118" s="324" t="s">
        <v>386</v>
      </c>
      <c r="W118" s="140">
        <f>' дод.1'!E17</f>
        <v>1660500</v>
      </c>
      <c r="Y118" s="325">
        <f>U118-W118</f>
        <v>178797.10407999996</v>
      </c>
    </row>
    <row r="119" spans="19:25" ht="24.95" hidden="1" customHeight="1" x14ac:dyDescent="0.2">
      <c r="T119" s="153" t="s">
        <v>384</v>
      </c>
      <c r="U119" s="322">
        <f>AN100</f>
        <v>1902588.5111386061</v>
      </c>
      <c r="V119" s="324" t="s">
        <v>386</v>
      </c>
      <c r="W119" s="140">
        <f>' дод.1'!F17</f>
        <v>1770200</v>
      </c>
      <c r="Y119" s="325">
        <f>U119-W119</f>
        <v>132388.51113860612</v>
      </c>
    </row>
    <row r="120" spans="19:25" ht="24.95" hidden="1" customHeight="1" x14ac:dyDescent="0.2"/>
    <row r="121" spans="19:25" ht="24.95" hidden="1" customHeight="1" x14ac:dyDescent="0.2"/>
    <row r="122" spans="19:25" ht="24.95" hidden="1" customHeight="1" x14ac:dyDescent="0.2"/>
    <row r="123" spans="19:25" ht="24.95" hidden="1" customHeight="1" x14ac:dyDescent="0.2"/>
    <row r="124" spans="19:25" ht="24.95" hidden="1" customHeight="1" x14ac:dyDescent="0.2"/>
    <row r="125" spans="19:25" ht="24.95" hidden="1" customHeight="1" x14ac:dyDescent="0.2"/>
    <row r="126" spans="19:25" ht="24.95" hidden="1" customHeight="1" x14ac:dyDescent="0.2"/>
    <row r="127" spans="19:25" ht="24.95" hidden="1" customHeight="1" x14ac:dyDescent="0.2"/>
    <row r="128" spans="19:25" ht="24.95" hidden="1" customHeight="1" x14ac:dyDescent="0.2"/>
    <row r="129" ht="24.95" hidden="1" customHeight="1" x14ac:dyDescent="0.2"/>
    <row r="130" ht="24.95" hidden="1" customHeight="1" x14ac:dyDescent="0.2"/>
    <row r="131" ht="24.95" hidden="1" customHeight="1" x14ac:dyDescent="0.2"/>
    <row r="132" ht="24.95" hidden="1" customHeight="1" x14ac:dyDescent="0.2"/>
    <row r="133" ht="24.95" hidden="1" customHeight="1" x14ac:dyDescent="0.2"/>
    <row r="134" ht="24.95" hidden="1" customHeight="1" x14ac:dyDescent="0.2"/>
    <row r="135" ht="24.95" hidden="1" customHeight="1" x14ac:dyDescent="0.2"/>
    <row r="136" ht="24.95" hidden="1" customHeight="1" x14ac:dyDescent="0.2"/>
    <row r="137" ht="24.95" hidden="1" customHeight="1" x14ac:dyDescent="0.2"/>
    <row r="138" ht="24.95" hidden="1" customHeight="1" x14ac:dyDescent="0.2"/>
    <row r="139" ht="24.95" hidden="1" customHeight="1" x14ac:dyDescent="0.2"/>
    <row r="140" ht="24.95" hidden="1" customHeight="1" x14ac:dyDescent="0.2"/>
    <row r="141" ht="24.95" hidden="1" customHeight="1" x14ac:dyDescent="0.2"/>
    <row r="142" ht="24.95" hidden="1" customHeight="1" x14ac:dyDescent="0.2"/>
    <row r="143" ht="24.95" hidden="1" customHeight="1" x14ac:dyDescent="0.2"/>
  </sheetData>
  <mergeCells count="21">
    <mergeCell ref="Z10:Z11"/>
    <mergeCell ref="AB10:AJ10"/>
    <mergeCell ref="T10:T11"/>
    <mergeCell ref="U10:U11"/>
    <mergeCell ref="V9:AO9"/>
    <mergeCell ref="AP9:AP11"/>
    <mergeCell ref="G10:G11"/>
    <mergeCell ref="H10:H11"/>
    <mergeCell ref="I10:Q10"/>
    <mergeCell ref="AA1:AJ1"/>
    <mergeCell ref="B5:AP5"/>
    <mergeCell ref="B9:B11"/>
    <mergeCell ref="C9:C11"/>
    <mergeCell ref="D9:D11"/>
    <mergeCell ref="AO10:AO11"/>
    <mergeCell ref="V10:V11"/>
    <mergeCell ref="AM10:AM11"/>
    <mergeCell ref="AN10:AN11"/>
    <mergeCell ref="E9:E11"/>
    <mergeCell ref="F9:F11"/>
    <mergeCell ref="G9:T9"/>
  </mergeCells>
  <phoneticPr fontId="73" type="noConversion"/>
  <printOptions horizontalCentered="1"/>
  <pageMargins left="1.1811023622047245" right="0.39370078740157483" top="0.78740157480314965" bottom="0.78740157480314965" header="0.51181102362204722" footer="0.31496062992125984"/>
  <pageSetup paperSize="9" scale="50" fitToHeight="5" orientation="landscape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 дод.1</vt:lpstr>
      <vt:lpstr>дод 2</vt:lpstr>
      <vt:lpstr>дод 3 </vt:lpstr>
      <vt:lpstr>дод 4</vt:lpstr>
      <vt:lpstr>дод 5</vt:lpstr>
      <vt:lpstr>коефіціенти</vt:lpstr>
      <vt:lpstr>коефіціенти (2)</vt:lpstr>
      <vt:lpstr>'дод 2'!Заголовки_для_печати</vt:lpstr>
      <vt:lpstr>'дод 3 '!Заголовки_для_печати</vt:lpstr>
      <vt:lpstr>'дод 4'!Заголовки_для_печати</vt:lpstr>
      <vt:lpstr>коефіціенти!Заголовки_для_печати</vt:lpstr>
      <vt:lpstr>'коефіціенти (2)'!Заголовки_для_печати</vt:lpstr>
      <vt:lpstr>' дод.1'!Область_печати</vt:lpstr>
      <vt:lpstr>'дод 2'!Область_печати</vt:lpstr>
      <vt:lpstr>коефіціенти!Область_печати</vt:lpstr>
      <vt:lpstr>'коефіціенти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2020-08-31T08:16:49Z</cp:lastPrinted>
  <dcterms:created xsi:type="dcterms:W3CDTF">2019-09-19T11:26:24Z</dcterms:created>
  <dcterms:modified xsi:type="dcterms:W3CDTF">2020-08-31T08:17:05Z</dcterms:modified>
</cp:coreProperties>
</file>