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activeTab="4"/>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s>
  <definedNames>
    <definedName name="_xlnm._FilterDatabase" localSheetId="5" hidden="1">'дод 6 '!#REF!</definedName>
    <definedName name="_xlnm._FilterDatabase" localSheetId="7" hidden="1">дод.8!$A$6:$E$190</definedName>
    <definedName name="_xlnm.Print_Titles" localSheetId="1">'дод 2 '!$13:$13</definedName>
    <definedName name="_xlnm.Print_Titles" localSheetId="2">'дод 3 '!$9:$12</definedName>
    <definedName name="_xlnm.Print_Titles" localSheetId="4">'Дод 5 '!$10:$11</definedName>
    <definedName name="_xlnm.Print_Titles" localSheetId="5">'дод 6 '!$10:$10</definedName>
    <definedName name="_xlnm.Print_Titles" localSheetId="7">дод.8!$6:$6</definedName>
    <definedName name="_xlnm.Print_Titles" localSheetId="6">дод7!$8:$10</definedName>
    <definedName name="_xlnm.Print_Area" localSheetId="1">'дод 2 '!$A$1:$F$50</definedName>
    <definedName name="_xlnm.Print_Area" localSheetId="4">'Дод 5 '!$A$1:$E$140</definedName>
    <definedName name="_xlnm.Print_Area" localSheetId="7">дод.8!$A$1:$E$204</definedName>
  </definedNames>
  <calcPr calcId="144525"/>
</workbook>
</file>

<file path=xl/calcChain.xml><?xml version="1.0" encoding="utf-8"?>
<calcChain xmlns="http://schemas.openxmlformats.org/spreadsheetml/2006/main">
  <c r="C149" i="10" l="1"/>
  <c r="C148" i="10"/>
  <c r="C147" i="10"/>
  <c r="C150" i="10" s="1"/>
  <c r="C140" i="10"/>
  <c r="C133" i="10"/>
  <c r="C129" i="10"/>
  <c r="C128" i="10"/>
  <c r="C127" i="10" s="1"/>
  <c r="C119" i="10"/>
  <c r="C111" i="10"/>
  <c r="G144" i="10" s="1"/>
  <c r="C101" i="10"/>
  <c r="C100" i="10" s="1"/>
  <c r="F144" i="10" s="1"/>
  <c r="C97" i="10"/>
  <c r="C95" i="10" s="1"/>
  <c r="E85" i="10"/>
  <c r="C83" i="10"/>
  <c r="E82" i="10"/>
  <c r="C81" i="10"/>
  <c r="F75" i="10"/>
  <c r="F74" i="10"/>
  <c r="C74" i="10"/>
  <c r="F73" i="10"/>
  <c r="C73" i="10"/>
  <c r="F72" i="10"/>
  <c r="C72" i="10"/>
  <c r="C71" i="10"/>
  <c r="F76" i="10" s="1"/>
  <c r="C70" i="10"/>
  <c r="C69" i="10"/>
  <c r="E84" i="10" s="1"/>
  <c r="C58" i="10"/>
  <c r="C54" i="10"/>
  <c r="C52" i="10"/>
  <c r="C51" i="10"/>
  <c r="C50" i="10"/>
  <c r="C46" i="10" s="1"/>
  <c r="C44" i="10"/>
  <c r="C43" i="10" s="1"/>
  <c r="C42" i="10"/>
  <c r="C36" i="10"/>
  <c r="C33" i="10"/>
  <c r="C32" i="10"/>
  <c r="C31" i="10"/>
  <c r="C27" i="10" s="1"/>
  <c r="C30" i="10"/>
  <c r="C29" i="10"/>
  <c r="C144" i="10" s="1"/>
  <c r="C23" i="10"/>
  <c r="C21" i="10"/>
  <c r="C19" i="10"/>
  <c r="C18" i="10"/>
  <c r="C17" i="10"/>
  <c r="C15" i="10"/>
  <c r="C14" i="10"/>
  <c r="C13" i="10" s="1"/>
  <c r="H144" i="10" l="1"/>
  <c r="C141" i="10"/>
  <c r="C139" i="10" s="1"/>
  <c r="C145" i="10"/>
  <c r="C146" i="10" s="1"/>
  <c r="E83" i="10"/>
  <c r="C66" i="10"/>
  <c r="C25" i="10" s="1"/>
  <c r="D25" i="10" l="1"/>
  <c r="C118" i="10"/>
  <c r="C117" i="10" s="1"/>
  <c r="D22" i="12" l="1"/>
  <c r="G57" i="4"/>
  <c r="E200" i="9" l="1"/>
  <c r="H77" i="1"/>
  <c r="G119" i="4"/>
  <c r="G22" i="12"/>
  <c r="G24" i="12" s="1"/>
  <c r="H37" i="1" l="1"/>
  <c r="H78" i="1"/>
  <c r="H76" i="1"/>
  <c r="H75" i="1"/>
  <c r="K75" i="1" s="1"/>
  <c r="H81" i="1"/>
  <c r="E26" i="12"/>
  <c r="H52" i="1" l="1"/>
  <c r="H62" i="1" l="1"/>
  <c r="H60" i="1"/>
  <c r="C153" i="9"/>
  <c r="J75" i="1" l="1"/>
  <c r="J73" i="1" s="1"/>
  <c r="K78" i="1" l="1"/>
  <c r="C206" i="9" l="1"/>
  <c r="F104" i="4"/>
  <c r="F103" i="4"/>
  <c r="F102" i="4"/>
  <c r="F101" i="4"/>
  <c r="G96" i="4"/>
  <c r="G94" i="4"/>
  <c r="J98" i="1" l="1"/>
  <c r="I98" i="1"/>
  <c r="G68" i="1" l="1"/>
  <c r="G67" i="1"/>
  <c r="H44" i="1"/>
  <c r="H33" i="1"/>
  <c r="H31" i="1"/>
  <c r="H29" i="1"/>
  <c r="Q89" i="4"/>
  <c r="P89" i="4"/>
  <c r="O89" i="4"/>
  <c r="N89" i="4"/>
  <c r="M89" i="4"/>
  <c r="L89" i="4"/>
  <c r="J89" i="4"/>
  <c r="I89" i="4"/>
  <c r="H89" i="4"/>
  <c r="G89" i="4"/>
  <c r="R105" i="4"/>
  <c r="K106" i="4"/>
  <c r="R106" i="4" s="1"/>
  <c r="K105" i="4"/>
  <c r="F87" i="2"/>
  <c r="E87" i="2"/>
  <c r="D87" i="2"/>
  <c r="C94" i="2"/>
  <c r="G54" i="4"/>
  <c r="C69" i="9" l="1"/>
  <c r="C45" i="9"/>
  <c r="C44" i="9" l="1"/>
  <c r="J43" i="1" l="1"/>
  <c r="I43" i="1"/>
  <c r="I100" i="7"/>
  <c r="G91" i="4" l="1"/>
  <c r="F91" i="4" s="1"/>
  <c r="G70" i="1"/>
  <c r="G46" i="1"/>
  <c r="F90" i="4"/>
  <c r="G16" i="4"/>
  <c r="F72" i="4"/>
  <c r="R72" i="4" s="1"/>
  <c r="G45" i="1"/>
  <c r="J37" i="1"/>
  <c r="I37" i="1"/>
  <c r="J34" i="1"/>
  <c r="I34" i="1"/>
  <c r="H34" i="1"/>
  <c r="F66" i="4"/>
  <c r="R66" i="4" s="1"/>
  <c r="Q14" i="4"/>
  <c r="O14" i="4"/>
  <c r="N14" i="4"/>
  <c r="M14" i="4"/>
  <c r="L14" i="4"/>
  <c r="J14" i="4"/>
  <c r="I14" i="4"/>
  <c r="H14" i="4"/>
  <c r="G14" i="4"/>
  <c r="G115" i="4"/>
  <c r="K109" i="4"/>
  <c r="K108" i="4"/>
  <c r="F80" i="2"/>
  <c r="E80" i="2"/>
  <c r="D80" i="2"/>
  <c r="C84" i="2"/>
  <c r="G157" i="4" l="1"/>
  <c r="G156" i="4"/>
  <c r="C199" i="9" l="1"/>
  <c r="E162" i="9"/>
  <c r="C162" i="9"/>
  <c r="H99" i="1"/>
  <c r="G99" i="1" s="1"/>
  <c r="J97" i="1"/>
  <c r="I97" i="1"/>
  <c r="G96" i="1"/>
  <c r="G95" i="1"/>
  <c r="G94" i="1"/>
  <c r="G93" i="1"/>
  <c r="H92" i="1"/>
  <c r="G92" i="1" s="1"/>
  <c r="G91" i="1"/>
  <c r="G90" i="1"/>
  <c r="J89" i="1"/>
  <c r="I89" i="1"/>
  <c r="H88" i="1"/>
  <c r="G88" i="1" s="1"/>
  <c r="G87" i="1"/>
  <c r="H86" i="1"/>
  <c r="G86" i="1"/>
  <c r="H85" i="1"/>
  <c r="G85" i="1" s="1"/>
  <c r="G84" i="1"/>
  <c r="H83" i="1"/>
  <c r="G83" i="1" s="1"/>
  <c r="H82" i="1"/>
  <c r="G82" i="1" s="1"/>
  <c r="G81" i="1"/>
  <c r="G80" i="1"/>
  <c r="G79" i="1"/>
  <c r="G78" i="1"/>
  <c r="G77" i="1"/>
  <c r="G76" i="1"/>
  <c r="K77" i="1"/>
  <c r="K79" i="1" s="1"/>
  <c r="I75" i="1"/>
  <c r="I73" i="1" s="1"/>
  <c r="G75" i="1"/>
  <c r="G74" i="1"/>
  <c r="H72" i="1"/>
  <c r="G72" i="1"/>
  <c r="H71" i="1"/>
  <c r="G71" i="1" s="1"/>
  <c r="G69" i="1"/>
  <c r="G66" i="1"/>
  <c r="H65" i="1"/>
  <c r="G65" i="1" s="1"/>
  <c r="G64" i="1"/>
  <c r="G63" i="1"/>
  <c r="G62" i="1"/>
  <c r="J61" i="1"/>
  <c r="J57" i="1" s="1"/>
  <c r="I61" i="1"/>
  <c r="I57" i="1" s="1"/>
  <c r="H61" i="1"/>
  <c r="G60" i="1"/>
  <c r="H59" i="1"/>
  <c r="G58" i="1"/>
  <c r="G55" i="1"/>
  <c r="I54" i="1"/>
  <c r="G54" i="1" s="1"/>
  <c r="G53" i="1"/>
  <c r="G52" i="1"/>
  <c r="H51" i="1"/>
  <c r="G51" i="1" s="1"/>
  <c r="G50" i="1"/>
  <c r="G49" i="1"/>
  <c r="G48" i="1"/>
  <c r="G47" i="1"/>
  <c r="G44" i="1"/>
  <c r="G43" i="1"/>
  <c r="G42" i="1"/>
  <c r="J41" i="1"/>
  <c r="J11" i="1" s="1"/>
  <c r="I41" i="1"/>
  <c r="G41" i="1" s="1"/>
  <c r="G40" i="1"/>
  <c r="H39" i="1"/>
  <c r="G39" i="1" s="1"/>
  <c r="G38" i="1"/>
  <c r="G37" i="1"/>
  <c r="G36" i="1"/>
  <c r="G35" i="1"/>
  <c r="G34" i="1"/>
  <c r="G33" i="1"/>
  <c r="G32" i="1"/>
  <c r="G31" i="1"/>
  <c r="G30" i="1"/>
  <c r="G29" i="1"/>
  <c r="G28" i="1"/>
  <c r="G27" i="1"/>
  <c r="H26" i="1"/>
  <c r="G26" i="1" s="1"/>
  <c r="H25" i="1"/>
  <c r="G25" i="1" s="1"/>
  <c r="H24" i="1"/>
  <c r="G24" i="1" s="1"/>
  <c r="H23" i="1"/>
  <c r="G23" i="1" s="1"/>
  <c r="H22" i="1"/>
  <c r="G22" i="1" s="1"/>
  <c r="H21" i="1"/>
  <c r="G21" i="1" s="1"/>
  <c r="H20" i="1"/>
  <c r="G20" i="1" s="1"/>
  <c r="G19" i="1"/>
  <c r="G18" i="1"/>
  <c r="I17" i="1"/>
  <c r="H17" i="1"/>
  <c r="H16" i="1"/>
  <c r="G16" i="1" s="1"/>
  <c r="G15" i="1"/>
  <c r="H14" i="1"/>
  <c r="G14" i="1" s="1"/>
  <c r="G13" i="1"/>
  <c r="H12" i="1"/>
  <c r="G12" i="1" s="1"/>
  <c r="I123" i="7"/>
  <c r="I122" i="7"/>
  <c r="I121" i="7"/>
  <c r="I113" i="7"/>
  <c r="I109" i="7"/>
  <c r="I107" i="7"/>
  <c r="I106" i="7"/>
  <c r="I98" i="7"/>
  <c r="G98" i="7"/>
  <c r="O84" i="7"/>
  <c r="N84" i="7"/>
  <c r="I84" i="7"/>
  <c r="I83" i="7"/>
  <c r="I24" i="7"/>
  <c r="I18" i="7"/>
  <c r="I12" i="7"/>
  <c r="I168" i="7" s="1"/>
  <c r="Q156" i="4"/>
  <c r="P156" i="4"/>
  <c r="O156" i="4"/>
  <c r="N156" i="4"/>
  <c r="M156" i="4"/>
  <c r="L156" i="4"/>
  <c r="J156" i="4"/>
  <c r="I156" i="4"/>
  <c r="H156" i="4"/>
  <c r="K154" i="4"/>
  <c r="F154" i="4"/>
  <c r="K153" i="4"/>
  <c r="F153" i="4"/>
  <c r="R153" i="4" s="1"/>
  <c r="K152" i="4"/>
  <c r="F152" i="4"/>
  <c r="R152" i="4" s="1"/>
  <c r="K151" i="4"/>
  <c r="F151" i="4"/>
  <c r="Q150" i="4"/>
  <c r="Q149" i="4" s="1"/>
  <c r="P150" i="4"/>
  <c r="O150" i="4"/>
  <c r="N150" i="4"/>
  <c r="M150" i="4"/>
  <c r="L150" i="4"/>
  <c r="L149" i="4" s="1"/>
  <c r="J150" i="4"/>
  <c r="J149" i="4" s="1"/>
  <c r="I150" i="4"/>
  <c r="H150" i="4"/>
  <c r="H149" i="4" s="1"/>
  <c r="G150" i="4"/>
  <c r="G149" i="4" s="1"/>
  <c r="P149" i="4"/>
  <c r="O149" i="4"/>
  <c r="N149" i="4"/>
  <c r="M149" i="4"/>
  <c r="I149" i="4"/>
  <c r="K148" i="4"/>
  <c r="F148" i="4"/>
  <c r="K147" i="4"/>
  <c r="F147" i="4"/>
  <c r="R147" i="4" s="1"/>
  <c r="K146" i="4"/>
  <c r="F146" i="4"/>
  <c r="Q145" i="4"/>
  <c r="Q137" i="4" s="1"/>
  <c r="Q136" i="4" s="1"/>
  <c r="P145" i="4"/>
  <c r="K145" i="4"/>
  <c r="F145" i="4"/>
  <c r="K144" i="4"/>
  <c r="F144" i="4"/>
  <c r="R144" i="4" s="1"/>
  <c r="K143" i="4"/>
  <c r="F143" i="4"/>
  <c r="P142" i="4"/>
  <c r="P137" i="4" s="1"/>
  <c r="P136" i="4" s="1"/>
  <c r="K142" i="4"/>
  <c r="F142" i="4"/>
  <c r="K141" i="4"/>
  <c r="F141" i="4"/>
  <c r="R141" i="4" s="1"/>
  <c r="O139" i="4"/>
  <c r="N139" i="4"/>
  <c r="M139" i="4"/>
  <c r="L139" i="4"/>
  <c r="F138" i="4"/>
  <c r="R138" i="4" s="1"/>
  <c r="O137" i="4"/>
  <c r="N137" i="4"/>
  <c r="N136" i="4" s="1"/>
  <c r="M137" i="4"/>
  <c r="M136" i="4" s="1"/>
  <c r="L137" i="4"/>
  <c r="L136" i="4" s="1"/>
  <c r="J137" i="4"/>
  <c r="J136" i="4" s="1"/>
  <c r="I137" i="4"/>
  <c r="I136" i="4" s="1"/>
  <c r="H137" i="4"/>
  <c r="H136" i="4" s="1"/>
  <c r="G137" i="4"/>
  <c r="G136" i="4" s="1"/>
  <c r="O136" i="4"/>
  <c r="F135" i="4"/>
  <c r="R135" i="4" s="1"/>
  <c r="K134" i="4"/>
  <c r="F134" i="4"/>
  <c r="K133" i="4"/>
  <c r="F133" i="4"/>
  <c r="R133" i="4" s="1"/>
  <c r="K132" i="4"/>
  <c r="F132" i="4"/>
  <c r="K131" i="4"/>
  <c r="F131" i="4"/>
  <c r="K130" i="4"/>
  <c r="F130" i="4"/>
  <c r="K129" i="4"/>
  <c r="F129" i="4"/>
  <c r="K128" i="4"/>
  <c r="F128" i="4"/>
  <c r="K127" i="4"/>
  <c r="F127" i="4"/>
  <c r="K126" i="4"/>
  <c r="R126" i="4" s="1"/>
  <c r="K125" i="4"/>
  <c r="F125" i="4"/>
  <c r="K124" i="4"/>
  <c r="F124" i="4"/>
  <c r="K123" i="4"/>
  <c r="F123" i="4"/>
  <c r="K122" i="4"/>
  <c r="F122" i="4"/>
  <c r="K121" i="4"/>
  <c r="F121" i="4"/>
  <c r="K120" i="4"/>
  <c r="F120" i="4"/>
  <c r="K119" i="4"/>
  <c r="F119" i="4"/>
  <c r="K118" i="4"/>
  <c r="F118" i="4"/>
  <c r="K117" i="4"/>
  <c r="F117" i="4"/>
  <c r="K116" i="4"/>
  <c r="F116" i="4"/>
  <c r="Q115" i="4"/>
  <c r="P115" i="4"/>
  <c r="O115" i="4"/>
  <c r="N115" i="4"/>
  <c r="M115" i="4"/>
  <c r="L115" i="4"/>
  <c r="J115" i="4"/>
  <c r="J157" i="4" s="1"/>
  <c r="I115" i="4"/>
  <c r="H115" i="4"/>
  <c r="H157" i="4" s="1"/>
  <c r="Q114" i="4"/>
  <c r="Q113" i="4" s="1"/>
  <c r="P114" i="4"/>
  <c r="P113" i="4" s="1"/>
  <c r="O114" i="4"/>
  <c r="N114" i="4"/>
  <c r="N113" i="4" s="1"/>
  <c r="M114" i="4"/>
  <c r="M113" i="4" s="1"/>
  <c r="L114" i="4"/>
  <c r="L113" i="4" s="1"/>
  <c r="J114" i="4"/>
  <c r="J113" i="4" s="1"/>
  <c r="I114" i="4"/>
  <c r="I113" i="4" s="1"/>
  <c r="H114" i="4"/>
  <c r="H113" i="4" s="1"/>
  <c r="G114" i="4"/>
  <c r="G113" i="4" s="1"/>
  <c r="O113" i="4"/>
  <c r="K112" i="4"/>
  <c r="F112" i="4"/>
  <c r="K111" i="4"/>
  <c r="F111" i="4"/>
  <c r="K110" i="4"/>
  <c r="F110" i="4"/>
  <c r="F109" i="4"/>
  <c r="R109" i="4" s="1"/>
  <c r="F108" i="4"/>
  <c r="R108" i="4" s="1"/>
  <c r="K107" i="4"/>
  <c r="F107" i="4"/>
  <c r="K104" i="4"/>
  <c r="K103" i="4"/>
  <c r="K102" i="4"/>
  <c r="K101" i="4"/>
  <c r="R101" i="4" s="1"/>
  <c r="K100" i="4"/>
  <c r="F100" i="4"/>
  <c r="K99" i="4"/>
  <c r="F99" i="4"/>
  <c r="K98" i="4"/>
  <c r="F98" i="4"/>
  <c r="R98" i="4" s="1"/>
  <c r="K97" i="4"/>
  <c r="K156" i="4" s="1"/>
  <c r="F97" i="4"/>
  <c r="K96" i="4"/>
  <c r="F96" i="4"/>
  <c r="K95" i="4"/>
  <c r="F95" i="4"/>
  <c r="K94" i="4"/>
  <c r="F94" i="4"/>
  <c r="R93" i="4"/>
  <c r="Q92" i="4"/>
  <c r="P92" i="4"/>
  <c r="O92" i="4"/>
  <c r="N92" i="4"/>
  <c r="M92" i="4"/>
  <c r="L92" i="4"/>
  <c r="J92" i="4"/>
  <c r="I92" i="4"/>
  <c r="H92" i="4"/>
  <c r="G92" i="4"/>
  <c r="Q91" i="4"/>
  <c r="Q157" i="4" s="1"/>
  <c r="P91" i="4"/>
  <c r="O91" i="4"/>
  <c r="N91" i="4"/>
  <c r="M91" i="4"/>
  <c r="L91" i="4"/>
  <c r="I91" i="4"/>
  <c r="Q90" i="4"/>
  <c r="P90" i="4"/>
  <c r="O90" i="4"/>
  <c r="N90" i="4"/>
  <c r="K90" i="4" s="1"/>
  <c r="L90" i="4"/>
  <c r="J90" i="4"/>
  <c r="Q88" i="4"/>
  <c r="P88" i="4"/>
  <c r="O88" i="4"/>
  <c r="N88" i="4"/>
  <c r="M88" i="4"/>
  <c r="L88" i="4"/>
  <c r="J88" i="4"/>
  <c r="I88" i="4"/>
  <c r="G88" i="4"/>
  <c r="O86" i="4"/>
  <c r="O87" i="4" s="1"/>
  <c r="N86" i="4"/>
  <c r="M86" i="4"/>
  <c r="J86" i="4"/>
  <c r="J87" i="4" s="1"/>
  <c r="I86" i="4"/>
  <c r="H86" i="4"/>
  <c r="G86" i="4"/>
  <c r="P85" i="4"/>
  <c r="K85" i="4"/>
  <c r="F85" i="4"/>
  <c r="P84" i="4"/>
  <c r="K84" i="4"/>
  <c r="F84" i="4"/>
  <c r="P83" i="4"/>
  <c r="K83" i="4"/>
  <c r="F83" i="4"/>
  <c r="P82" i="4"/>
  <c r="K82" i="4"/>
  <c r="F82" i="4"/>
  <c r="P81" i="4"/>
  <c r="K81" i="4"/>
  <c r="K16" i="4" s="1"/>
  <c r="F81" i="4"/>
  <c r="Q80" i="4"/>
  <c r="P80" i="4"/>
  <c r="K80" i="4"/>
  <c r="F80" i="4"/>
  <c r="R80" i="4" s="1"/>
  <c r="Q79" i="4"/>
  <c r="Q86" i="4" s="1"/>
  <c r="P79" i="4"/>
  <c r="K79" i="4"/>
  <c r="R79" i="4" s="1"/>
  <c r="P78" i="4"/>
  <c r="K78" i="4"/>
  <c r="F78" i="4"/>
  <c r="R78" i="4" s="1"/>
  <c r="P77" i="4"/>
  <c r="K77" i="4"/>
  <c r="F77" i="4"/>
  <c r="P76" i="4"/>
  <c r="K76" i="4"/>
  <c r="R76" i="4" s="1"/>
  <c r="K75" i="4"/>
  <c r="F75" i="4"/>
  <c r="K74" i="4"/>
  <c r="F74" i="4"/>
  <c r="F73" i="4"/>
  <c r="R73" i="4" s="1"/>
  <c r="F71" i="4"/>
  <c r="R71" i="4" s="1"/>
  <c r="K70" i="4"/>
  <c r="F70" i="4"/>
  <c r="K69" i="4"/>
  <c r="F69" i="4"/>
  <c r="K68" i="4"/>
  <c r="F68" i="4"/>
  <c r="P67" i="4"/>
  <c r="K67" i="4"/>
  <c r="F67" i="4"/>
  <c r="K65" i="4"/>
  <c r="F65" i="4"/>
  <c r="K64" i="4"/>
  <c r="R64" i="4" s="1"/>
  <c r="F64" i="4"/>
  <c r="K63" i="4"/>
  <c r="F63" i="4"/>
  <c r="K62" i="4"/>
  <c r="F62" i="4"/>
  <c r="K61" i="4"/>
  <c r="F61" i="4"/>
  <c r="K60" i="4"/>
  <c r="F60" i="4"/>
  <c r="K59" i="4"/>
  <c r="F59" i="4"/>
  <c r="K58" i="4"/>
  <c r="R58" i="4" s="1"/>
  <c r="K57" i="4"/>
  <c r="F57" i="4"/>
  <c r="K56" i="4"/>
  <c r="F56" i="4"/>
  <c r="K55" i="4"/>
  <c r="F55" i="4"/>
  <c r="R55" i="4" s="1"/>
  <c r="K54" i="4"/>
  <c r="F54" i="4"/>
  <c r="K53" i="4"/>
  <c r="F53" i="4"/>
  <c r="K52" i="4"/>
  <c r="R52" i="4" s="1"/>
  <c r="K51" i="4"/>
  <c r="F51" i="4"/>
  <c r="K50" i="4"/>
  <c r="F50" i="4"/>
  <c r="K49" i="4"/>
  <c r="R49" i="4" s="1"/>
  <c r="K48" i="4"/>
  <c r="R48" i="4" s="1"/>
  <c r="K47" i="4"/>
  <c r="F47" i="4"/>
  <c r="K46" i="4"/>
  <c r="F46" i="4"/>
  <c r="K45" i="4"/>
  <c r="F45" i="4"/>
  <c r="K44" i="4"/>
  <c r="F44" i="4"/>
  <c r="K43" i="4"/>
  <c r="F43" i="4"/>
  <c r="F42" i="4"/>
  <c r="R42" i="4" s="1"/>
  <c r="K41" i="4"/>
  <c r="F41" i="4"/>
  <c r="K40" i="4"/>
  <c r="F40" i="4"/>
  <c r="K39" i="4"/>
  <c r="F39" i="4"/>
  <c r="F38" i="4"/>
  <c r="R38" i="4" s="1"/>
  <c r="K37" i="4"/>
  <c r="F37" i="4"/>
  <c r="K36" i="4"/>
  <c r="F36" i="4"/>
  <c r="K35" i="4"/>
  <c r="F35" i="4"/>
  <c r="L34" i="4"/>
  <c r="L86" i="4" s="1"/>
  <c r="K34" i="4"/>
  <c r="F34" i="4"/>
  <c r="F33" i="4"/>
  <c r="R33" i="4" s="1"/>
  <c r="F32" i="4"/>
  <c r="R32" i="4" s="1"/>
  <c r="F31" i="4"/>
  <c r="R31" i="4" s="1"/>
  <c r="K30" i="4"/>
  <c r="F30" i="4"/>
  <c r="R29" i="4"/>
  <c r="K28" i="4"/>
  <c r="F28" i="4"/>
  <c r="F27" i="4"/>
  <c r="R27" i="4" s="1"/>
  <c r="R26" i="4"/>
  <c r="F25" i="4"/>
  <c r="R25" i="4" s="1"/>
  <c r="R24" i="4"/>
  <c r="R23" i="4"/>
  <c r="R22" i="4"/>
  <c r="R21" i="4"/>
  <c r="K20" i="4"/>
  <c r="F20" i="4"/>
  <c r="F19" i="4"/>
  <c r="K18" i="4"/>
  <c r="F18" i="4"/>
  <c r="K17" i="4"/>
  <c r="J17" i="4"/>
  <c r="G17" i="4"/>
  <c r="F17" i="4" s="1"/>
  <c r="Q16" i="4"/>
  <c r="P16" i="4"/>
  <c r="O16" i="4"/>
  <c r="N16" i="4"/>
  <c r="M16" i="4"/>
  <c r="L16" i="4"/>
  <c r="J16" i="4"/>
  <c r="F16" i="4" s="1"/>
  <c r="K15" i="4"/>
  <c r="F15" i="4"/>
  <c r="N13" i="4"/>
  <c r="M87" i="4"/>
  <c r="I13" i="4"/>
  <c r="H13" i="4"/>
  <c r="G13" i="4"/>
  <c r="F47" i="12"/>
  <c r="E47" i="12"/>
  <c r="D47" i="12"/>
  <c r="F46" i="12"/>
  <c r="E46" i="12"/>
  <c r="D46" i="12"/>
  <c r="C46" i="12"/>
  <c r="F45" i="12"/>
  <c r="E45" i="12"/>
  <c r="D45" i="12"/>
  <c r="C45" i="12"/>
  <c r="F44" i="12"/>
  <c r="F33" i="12" s="1"/>
  <c r="F32" i="12" s="1"/>
  <c r="F48" i="12" s="1"/>
  <c r="E44" i="12"/>
  <c r="E33" i="12" s="1"/>
  <c r="E32" i="12" s="1"/>
  <c r="E48" i="12" s="1"/>
  <c r="E43" i="12"/>
  <c r="C43" i="12"/>
  <c r="F42" i="12"/>
  <c r="E42" i="12"/>
  <c r="D42" i="12"/>
  <c r="C42" i="12"/>
  <c r="F41" i="12"/>
  <c r="E41" i="12"/>
  <c r="D41" i="12"/>
  <c r="C41" i="12"/>
  <c r="F40" i="12"/>
  <c r="E40" i="12"/>
  <c r="D40" i="12"/>
  <c r="D34" i="12" s="1"/>
  <c r="C34" i="12" s="1"/>
  <c r="C40" i="12"/>
  <c r="F39" i="12"/>
  <c r="E39" i="12"/>
  <c r="D39" i="12"/>
  <c r="C39" i="12"/>
  <c r="F38" i="12"/>
  <c r="E38" i="12"/>
  <c r="D38" i="12"/>
  <c r="C38" i="12"/>
  <c r="F37" i="12"/>
  <c r="E37" i="12"/>
  <c r="D37" i="12"/>
  <c r="C37" i="12"/>
  <c r="F35" i="12"/>
  <c r="E35" i="12"/>
  <c r="D35" i="12"/>
  <c r="C35" i="12"/>
  <c r="F34" i="12"/>
  <c r="E34" i="12"/>
  <c r="F29" i="12"/>
  <c r="E29" i="12"/>
  <c r="D29" i="12"/>
  <c r="C29" i="12"/>
  <c r="F28" i="12"/>
  <c r="D28" i="12"/>
  <c r="C28" i="12"/>
  <c r="C27" i="12"/>
  <c r="F26" i="12"/>
  <c r="F16" i="12" s="1"/>
  <c r="F15" i="12" s="1"/>
  <c r="F30" i="12" s="1"/>
  <c r="D26" i="12"/>
  <c r="D44" i="12" s="1"/>
  <c r="C25" i="12"/>
  <c r="D24" i="12"/>
  <c r="C24" i="12"/>
  <c r="D23" i="12"/>
  <c r="C23" i="12"/>
  <c r="F22" i="12"/>
  <c r="E22" i="12"/>
  <c r="C22" i="12"/>
  <c r="D21" i="12"/>
  <c r="C21" i="12"/>
  <c r="C20" i="12"/>
  <c r="F19" i="12"/>
  <c r="E19" i="12"/>
  <c r="D19" i="12"/>
  <c r="C19" i="12"/>
  <c r="F18" i="12"/>
  <c r="E18" i="12"/>
  <c r="D18" i="12"/>
  <c r="C18" i="12"/>
  <c r="F17" i="12"/>
  <c r="E17" i="12"/>
  <c r="D17" i="12"/>
  <c r="C17" i="12"/>
  <c r="E16" i="12"/>
  <c r="E15" i="12" s="1"/>
  <c r="E30" i="12" s="1"/>
  <c r="C95" i="2"/>
  <c r="C93" i="2"/>
  <c r="C92" i="2"/>
  <c r="C91" i="2"/>
  <c r="C90" i="2"/>
  <c r="C89" i="2"/>
  <c r="C88" i="2"/>
  <c r="C87" i="2" s="1"/>
  <c r="C86" i="2"/>
  <c r="C85" i="2" s="1"/>
  <c r="E85" i="2"/>
  <c r="E79" i="2" s="1"/>
  <c r="E78" i="2" s="1"/>
  <c r="D85" i="2"/>
  <c r="C83" i="2"/>
  <c r="C82" i="2"/>
  <c r="C81" i="2"/>
  <c r="C76" i="2"/>
  <c r="C75" i="2" s="1"/>
  <c r="C74" i="2" s="1"/>
  <c r="F75" i="2"/>
  <c r="F74" i="2" s="1"/>
  <c r="E75" i="2"/>
  <c r="E74" i="2" s="1"/>
  <c r="D75" i="2"/>
  <c r="D74" i="2"/>
  <c r="C73" i="2"/>
  <c r="C72" i="2" s="1"/>
  <c r="F72" i="2"/>
  <c r="F71" i="2" s="1"/>
  <c r="E72" i="2"/>
  <c r="D72" i="2"/>
  <c r="E71" i="2"/>
  <c r="E70" i="2" s="1"/>
  <c r="D71" i="2"/>
  <c r="I70" i="2"/>
  <c r="J69" i="2"/>
  <c r="C69" i="2"/>
  <c r="J68" i="2"/>
  <c r="C68" i="2"/>
  <c r="H67" i="2"/>
  <c r="H70" i="2" s="1"/>
  <c r="E67" i="2"/>
  <c r="E66" i="2" s="1"/>
  <c r="D67" i="2"/>
  <c r="C67" i="2" s="1"/>
  <c r="D66" i="2"/>
  <c r="C66" i="2" s="1"/>
  <c r="C65" i="2"/>
  <c r="C64" i="2"/>
  <c r="E63" i="2"/>
  <c r="D63" i="2"/>
  <c r="C62" i="2"/>
  <c r="C61" i="2"/>
  <c r="C60" i="2"/>
  <c r="E59" i="2"/>
  <c r="D59" i="2"/>
  <c r="D58" i="2" s="1"/>
  <c r="E58" i="2"/>
  <c r="C57" i="2"/>
  <c r="C56" i="2"/>
  <c r="C55" i="2" s="1"/>
  <c r="C54" i="2" s="1"/>
  <c r="E55" i="2"/>
  <c r="E54" i="2" s="1"/>
  <c r="E53" i="2" s="1"/>
  <c r="D55" i="2"/>
  <c r="D54" i="2" s="1"/>
  <c r="F53" i="2"/>
  <c r="C52" i="2"/>
  <c r="C51" i="2"/>
  <c r="C50" i="2"/>
  <c r="C49" i="2" s="1"/>
  <c r="C48" i="2" s="1"/>
  <c r="E49" i="2"/>
  <c r="E48" i="2" s="1"/>
  <c r="E11" i="2" s="1"/>
  <c r="D49" i="2"/>
  <c r="D48" i="2" s="1"/>
  <c r="C47" i="2"/>
  <c r="C46" i="2"/>
  <c r="C45" i="2"/>
  <c r="C44" i="2" s="1"/>
  <c r="E44" i="2"/>
  <c r="D44" i="2"/>
  <c r="C43" i="2"/>
  <c r="C42" i="2"/>
  <c r="C41" i="2"/>
  <c r="C40" i="2"/>
  <c r="C39" i="2"/>
  <c r="C38" i="2"/>
  <c r="C37" i="2"/>
  <c r="C36" i="2"/>
  <c r="C35" i="2"/>
  <c r="C34" i="2"/>
  <c r="E33" i="2"/>
  <c r="E32" i="2" s="1"/>
  <c r="D33" i="2"/>
  <c r="D32" i="2"/>
  <c r="C31" i="2"/>
  <c r="C30" i="2"/>
  <c r="C29" i="2" s="1"/>
  <c r="E29" i="2"/>
  <c r="D29" i="2"/>
  <c r="C28" i="2"/>
  <c r="C27" i="2" s="1"/>
  <c r="C26" i="2" s="1"/>
  <c r="E27" i="2"/>
  <c r="E26" i="2" s="1"/>
  <c r="D27" i="2"/>
  <c r="D26" i="2" s="1"/>
  <c r="C25" i="2"/>
  <c r="D24" i="2"/>
  <c r="C24" i="2"/>
  <c r="C23" i="2"/>
  <c r="C22" i="2" s="1"/>
  <c r="C21" i="2" s="1"/>
  <c r="D22" i="2"/>
  <c r="D21" i="2"/>
  <c r="C20" i="2"/>
  <c r="D19" i="2"/>
  <c r="C19" i="2"/>
  <c r="C18" i="2"/>
  <c r="C17" i="2"/>
  <c r="C16" i="2"/>
  <c r="C15" i="2"/>
  <c r="C14" i="2"/>
  <c r="E13" i="2"/>
  <c r="D13" i="2"/>
  <c r="E12" i="2"/>
  <c r="D12" i="2"/>
  <c r="R118" i="4" l="1"/>
  <c r="H98" i="1"/>
  <c r="H97" i="1" s="1"/>
  <c r="H57" i="1"/>
  <c r="G59" i="1"/>
  <c r="G98" i="1"/>
  <c r="G97" i="1" s="1"/>
  <c r="G89" i="1"/>
  <c r="I11" i="1"/>
  <c r="H73" i="1"/>
  <c r="K80" i="1"/>
  <c r="L157" i="4"/>
  <c r="G73" i="1"/>
  <c r="C204" i="9"/>
  <c r="D199" i="9"/>
  <c r="R134" i="4"/>
  <c r="N157" i="4"/>
  <c r="M157" i="4"/>
  <c r="R123" i="4"/>
  <c r="R128" i="4"/>
  <c r="R132" i="4"/>
  <c r="P157" i="4"/>
  <c r="R131" i="4"/>
  <c r="K89" i="4"/>
  <c r="K88" i="4" s="1"/>
  <c r="F89" i="4"/>
  <c r="F88" i="4" s="1"/>
  <c r="P14" i="4"/>
  <c r="P13" i="4" s="1"/>
  <c r="P155" i="4" s="1"/>
  <c r="R15" i="4"/>
  <c r="J110" i="1"/>
  <c r="H89" i="1"/>
  <c r="G17" i="1"/>
  <c r="G11" i="1" s="1"/>
  <c r="G61" i="1"/>
  <c r="G57" i="1" s="1"/>
  <c r="H11" i="1"/>
  <c r="I110" i="1"/>
  <c r="R143" i="4"/>
  <c r="R146" i="4"/>
  <c r="P139" i="4"/>
  <c r="K150" i="4"/>
  <c r="K149" i="4" s="1"/>
  <c r="Q139" i="4"/>
  <c r="R142" i="4"/>
  <c r="R154" i="4"/>
  <c r="D70" i="2"/>
  <c r="C33" i="2"/>
  <c r="C63" i="2"/>
  <c r="R36" i="4"/>
  <c r="R28" i="4"/>
  <c r="R43" i="4"/>
  <c r="R40" i="4"/>
  <c r="R103" i="4"/>
  <c r="I157" i="4"/>
  <c r="R127" i="4"/>
  <c r="R120" i="4"/>
  <c r="R124" i="4"/>
  <c r="R121" i="4"/>
  <c r="R125" i="4"/>
  <c r="R129" i="4"/>
  <c r="K113" i="4"/>
  <c r="O157" i="4"/>
  <c r="R122" i="4"/>
  <c r="R95" i="4"/>
  <c r="R110" i="4"/>
  <c r="S89" i="4"/>
  <c r="R61" i="4"/>
  <c r="R62" i="4"/>
  <c r="R63" i="4"/>
  <c r="F137" i="4"/>
  <c r="F136" i="4" s="1"/>
  <c r="R16" i="4"/>
  <c r="F156" i="4"/>
  <c r="R156" i="4" s="1"/>
  <c r="D11" i="2"/>
  <c r="D53" i="2"/>
  <c r="C80" i="2"/>
  <c r="J67" i="2"/>
  <c r="J70" i="2" s="1"/>
  <c r="E77" i="2"/>
  <c r="E97" i="2" s="1"/>
  <c r="C13" i="2"/>
  <c r="C12" i="2" s="1"/>
  <c r="C59" i="2"/>
  <c r="C58" i="2" s="1"/>
  <c r="C53" i="2" s="1"/>
  <c r="I11" i="7"/>
  <c r="R65" i="4"/>
  <c r="K14" i="4"/>
  <c r="K13" i="4" s="1"/>
  <c r="R20" i="4"/>
  <c r="R37" i="4"/>
  <c r="R56" i="4"/>
  <c r="R69" i="4"/>
  <c r="R53" i="4"/>
  <c r="R30" i="4"/>
  <c r="R35" i="4"/>
  <c r="R18" i="4"/>
  <c r="F14" i="4"/>
  <c r="R81" i="4"/>
  <c r="R102" i="4"/>
  <c r="R45" i="4"/>
  <c r="K115" i="4"/>
  <c r="C44" i="12"/>
  <c r="D33" i="12"/>
  <c r="D16" i="12"/>
  <c r="C26" i="12"/>
  <c r="R148" i="4"/>
  <c r="K139" i="4"/>
  <c r="F150" i="4"/>
  <c r="F149" i="4" s="1"/>
  <c r="R149" i="4" s="1"/>
  <c r="R151" i="4"/>
  <c r="R145" i="4"/>
  <c r="R130" i="4"/>
  <c r="R117" i="4"/>
  <c r="F115" i="4"/>
  <c r="F157" i="4" s="1"/>
  <c r="K114" i="4"/>
  <c r="R90" i="4"/>
  <c r="R104" i="4"/>
  <c r="R100" i="4"/>
  <c r="K92" i="4"/>
  <c r="F92" i="4"/>
  <c r="P86" i="4"/>
  <c r="R75" i="4"/>
  <c r="R70" i="4"/>
  <c r="R67" i="4"/>
  <c r="R60" i="4"/>
  <c r="R111" i="4"/>
  <c r="K91" i="4"/>
  <c r="R57" i="4"/>
  <c r="R112" i="4"/>
  <c r="J13" i="4"/>
  <c r="J155" i="4" s="1"/>
  <c r="R39" i="4"/>
  <c r="R44" i="4"/>
  <c r="R17" i="4"/>
  <c r="R34" i="4"/>
  <c r="R46" i="4"/>
  <c r="R47" i="4"/>
  <c r="I87" i="4"/>
  <c r="C200" i="9"/>
  <c r="F114" i="4"/>
  <c r="F113" i="4" s="1"/>
  <c r="O13" i="4"/>
  <c r="O155" i="4" s="1"/>
  <c r="M13" i="4"/>
  <c r="M155" i="4" s="1"/>
  <c r="L87" i="4"/>
  <c r="N87" i="4"/>
  <c r="R77" i="4"/>
  <c r="N155" i="4"/>
  <c r="R115" i="4"/>
  <c r="R96" i="4"/>
  <c r="G155" i="4"/>
  <c r="R54" i="4"/>
  <c r="R50" i="4"/>
  <c r="R68" i="4"/>
  <c r="R59" i="4"/>
  <c r="K86" i="4"/>
  <c r="R74" i="4"/>
  <c r="R84" i="4"/>
  <c r="R94" i="4"/>
  <c r="R82" i="4"/>
  <c r="R85" i="4"/>
  <c r="R107" i="4"/>
  <c r="F86" i="4"/>
  <c r="R19" i="4"/>
  <c r="R41" i="4"/>
  <c r="R83" i="4"/>
  <c r="R99" i="4"/>
  <c r="I155" i="4"/>
  <c r="R51" i="4"/>
  <c r="G87" i="4"/>
  <c r="R116" i="4"/>
  <c r="H87" i="4"/>
  <c r="R119" i="4"/>
  <c r="L13" i="4"/>
  <c r="L155" i="4" s="1"/>
  <c r="R97" i="4"/>
  <c r="K137" i="4"/>
  <c r="K136" i="4" s="1"/>
  <c r="H88" i="4"/>
  <c r="H155" i="4" s="1"/>
  <c r="D77" i="2"/>
  <c r="C70" i="2"/>
  <c r="C32" i="2"/>
  <c r="F70" i="2"/>
  <c r="F77" i="2" s="1"/>
  <c r="F97" i="2" s="1"/>
  <c r="C71" i="2"/>
  <c r="D79" i="2"/>
  <c r="D78" i="2" s="1"/>
  <c r="C79" i="2"/>
  <c r="C78" i="2" s="1"/>
  <c r="H110" i="1" l="1"/>
  <c r="P87" i="4"/>
  <c r="C205" i="9"/>
  <c r="D200" i="9"/>
  <c r="R137" i="4"/>
  <c r="R136" i="4" s="1"/>
  <c r="G110" i="1"/>
  <c r="R89" i="4"/>
  <c r="R150" i="4"/>
  <c r="R92" i="4"/>
  <c r="R91" i="4"/>
  <c r="K157" i="4"/>
  <c r="R157" i="4" s="1"/>
  <c r="D97" i="2"/>
  <c r="C11" i="2"/>
  <c r="C77" i="2" s="1"/>
  <c r="C97" i="2" s="1"/>
  <c r="R14" i="4"/>
  <c r="R13" i="4" s="1"/>
  <c r="D15" i="12"/>
  <c r="C16" i="12"/>
  <c r="C33" i="12"/>
  <c r="D32" i="12"/>
  <c r="R114" i="4"/>
  <c r="R113" i="4" s="1"/>
  <c r="K87" i="4"/>
  <c r="R86" i="4"/>
  <c r="Q13" i="4"/>
  <c r="Q155" i="4" s="1"/>
  <c r="Q87" i="4"/>
  <c r="F13" i="4"/>
  <c r="F155" i="4" s="1"/>
  <c r="F87" i="4"/>
  <c r="K155" i="4"/>
  <c r="R87" i="4" l="1"/>
  <c r="D48" i="12"/>
  <c r="C32" i="12"/>
  <c r="D30" i="12"/>
  <c r="C30" i="12" s="1"/>
  <c r="C15" i="12"/>
  <c r="R88" i="4"/>
  <c r="R155" i="4" s="1"/>
  <c r="S155" i="4" s="1"/>
  <c r="S90" i="4"/>
  <c r="C203" i="9"/>
  <c r="D162" i="9"/>
  <c r="D203" i="9"/>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<sst xmlns="http://schemas.openxmlformats.org/spreadsheetml/2006/main" count="2325" uniqueCount="994">
  <si>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</si>
  <si>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</si>
  <si>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</si>
  <si>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</si>
  <si>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</si>
  <si>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</si>
  <si>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</si>
  <si>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</si>
  <si>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</si>
  <si>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</si>
  <si>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</si>
  <si>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</si>
  <si>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</si>
  <si>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</si>
  <si>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</si>
  <si>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</si>
  <si>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</si>
  <si>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</si>
  <si>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</si>
  <si>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</si>
  <si>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</si>
  <si>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</si>
  <si>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</si>
  <si>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</si>
  <si>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</si>
  <si>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</si>
  <si>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</si>
  <si>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</si>
  <si>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</si>
  <si>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</si>
  <si>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</si>
  <si>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</si>
  <si>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</si>
  <si>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</si>
  <si>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</si>
  <si>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</si>
  <si>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</si>
  <si>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</si>
  <si>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</si>
  <si>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</si>
  <si>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</si>
  <si>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</si>
  <si>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</si>
  <si>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</si>
  <si>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</si>
  <si>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</si>
  <si>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</si>
  <si>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</si>
  <si>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</si>
  <si>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</si>
  <si>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</si>
  <si>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</si>
  <si>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</si>
  <si>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</si>
  <si>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</si>
  <si>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</si>
  <si>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</si>
  <si>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</si>
  <si>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</si>
  <si>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</si>
  <si>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</si>
  <si>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</si>
  <si>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</si>
  <si>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</si>
  <si>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</si>
  <si>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</si>
  <si>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</si>
  <si>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</si>
  <si>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</si>
  <si>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</si>
  <si>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</si>
  <si>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</si>
  <si>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</si>
  <si>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</si>
  <si>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</si>
  <si>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</si>
  <si>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</si>
  <si>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</si>
  <si>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</si>
  <si>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</si>
  <si>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</si>
  <si>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</si>
  <si>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</si>
  <si>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</si>
  <si>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</si>
  <si>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</si>
  <si>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</si>
  <si>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</si>
  <si>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</si>
  <si>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</si>
  <si>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</si>
  <si>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</si>
  <si>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</si>
  <si>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</si>
  <si>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</si>
  <si>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</si>
  <si>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</si>
  <si>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</si>
  <si>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</si>
  <si>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</si>
  <si>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</si>
  <si>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</si>
  <si>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</si>
  <si>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</si>
  <si>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</si>
  <si>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</si>
  <si>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</si>
  <si>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</si>
  <si>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</si>
  <si>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</si>
  <si>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</si>
  <si>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</si>
  <si>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</si>
  <si>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</si>
  <si>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</si>
  <si>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</si>
  <si>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</si>
  <si>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</si>
  <si>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</si>
  <si>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</si>
  <si>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</si>
  <si>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</si>
  <si>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</si>
  <si>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</si>
  <si>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</si>
  <si>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</si>
  <si>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</si>
  <si>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</si>
  <si>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</si>
  <si>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</si>
  <si>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</si>
  <si>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</si>
  <si>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</si>
  <si>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</si>
  <si>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</si>
  <si>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</si>
  <si>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</si>
  <si>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</si>
  <si>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</si>
  <si>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</si>
  <si>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</si>
  <si>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</si>
  <si>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</si>
  <si>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</si>
  <si>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</si>
  <si>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</si>
  <si>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</si>
  <si>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</si>
  <si>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</si>
  <si>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</si>
  <si>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</si>
  <si>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</si>
  <si>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</si>
  <si>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</si>
  <si>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</si>
  <si>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</si>
  <si>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</si>
  <si>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</si>
  <si>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</si>
  <si>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</si>
  <si>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</si>
  <si>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</si>
  <si>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</si>
  <si>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</si>
  <si>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</si>
  <si>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</si>
  <si>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</si>
  <si>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</si>
  <si>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</si>
  <si>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</si>
  <si>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</si>
  <si>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</si>
  <si>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</si>
  <si>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</si>
  <si>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</si>
  <si>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</si>
  <si>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</si>
  <si>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</si>
  <si>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</si>
  <si>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</si>
  <si>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</si>
  <si>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</si>
  <si>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</si>
  <si>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</si>
  <si>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</si>
  <si>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</si>
  <si>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</si>
  <si>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</si>
  <si>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</si>
  <si>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</si>
  <si>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</si>
  <si>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</si>
  <si>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</si>
  <si>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</si>
  <si>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</si>
  <si>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</si>
  <si>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</si>
  <si>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</si>
  <si>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</si>
  <si>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</si>
  <si>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</si>
  <si>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</si>
  <si>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</si>
  <si>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</si>
  <si>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</si>
  <si>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</si>
  <si>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</si>
  <si>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</si>
  <si>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</si>
  <si>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</si>
  <si>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</si>
  <si>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</si>
  <si>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</si>
  <si>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</si>
  <si>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</si>
  <si>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</si>
  <si>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</si>
  <si>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</si>
  <si>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</si>
  <si>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</si>
  <si>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</si>
  <si>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</si>
  <si>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</si>
  <si>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</si>
  <si>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</si>
  <si>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</si>
  <si>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</si>
  <si>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</si>
  <si>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</si>
  <si>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</si>
  <si>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</si>
  <si>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</si>
  <si>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</si>
  <si>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</si>
  <si>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</si>
  <si>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</si>
  <si>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</si>
  <si>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</si>
  <si>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</si>
  <si>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</si>
  <si>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</si>
  <si>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</si>
  <si>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</si>
  <si>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</si>
  <si>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</si>
  <si>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</si>
  <si>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</si>
  <si>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</si>
  <si>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</si>
  <si>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</si>
  <si>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</si>
  <si>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</si>
  <si>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</si>
  <si>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</si>
  <si>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</si>
  <si>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</si>
  <si>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</si>
  <si>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</si>
  <si>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</si>
  <si>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</si>
  <si>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</si>
  <si>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</si>
  <si>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</si>
  <si>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</si>
  <si>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</si>
  <si>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</si>
  <si>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</si>
  <si>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</si>
  <si>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</si>
  <si>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</si>
  <si>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</si>
  <si>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</si>
  <si>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</si>
  <si>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</si>
  <si>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</si>
  <si>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</si>
  <si>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</si>
  <si>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</si>
  <si>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</si>
  <si>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</si>
  <si>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</si>
  <si>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</si>
  <si>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</si>
  <si>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</si>
  <si>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</si>
  <si>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</si>
  <si>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</si>
  <si>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</si>
  <si>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</si>
  <si>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</si>
  <si>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</si>
  <si>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</si>
  <si>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</si>
  <si>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</si>
  <si>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</si>
  <si>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</si>
  <si>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</si>
  <si>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</si>
  <si>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</si>
  <si>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</si>
  <si>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</si>
  <si>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</si>
  <si>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</si>
  <si>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</si>
  <si>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</si>
  <si>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</si>
  <si>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</si>
  <si>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</si>
  <si>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</si>
  <si>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</si>
  <si>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</si>
  <si>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</si>
  <si>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</si>
  <si>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</si>
  <si>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</si>
  <si>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</si>
  <si>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</si>
  <si>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</si>
  <si>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</si>
  <si>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</si>
  <si>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</si>
  <si>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</si>
  <si>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</si>
  <si>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</si>
  <si>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</si>
  <si>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</si>
  <si>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</si>
  <si>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</si>
  <si>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</si>
  <si>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</si>
  <si>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</si>
  <si>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</si>
  <si>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</si>
  <si>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</si>
  <si>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</si>
  <si>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</si>
  <si>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</si>
  <si>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</si>
  <si>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</si>
  <si>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</si>
  <si>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</si>
  <si>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</si>
  <si>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</si>
  <si>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</si>
  <si>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</si>
  <si>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</si>
  <si>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</si>
  <si>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</si>
  <si>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</si>
  <si>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</si>
  <si>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</si>
  <si>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</si>
  <si>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</si>
  <si>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</si>
  <si>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</si>
  <si>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</si>
  <si>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</si>
  <si>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</si>
  <si>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</si>
  <si>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</si>
  <si>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</si>
  <si>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</si>
  <si>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</si>
  <si>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</si>
  <si>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</si>
  <si>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</si>
  <si>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</si>
  <si>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</si>
  <si>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</si>
  <si>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</si>
  <si>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</si>
  <si>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</si>
  <si>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</si>
  <si>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</si>
  <si>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</si>
  <si>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</si>
  <si>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</si>
  <si>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</si>
  <si>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</si>
  <si>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</si>
  <si>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</si>
  <si>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</si>
  <si>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</si>
  <si>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</si>
  <si>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</si>
  <si>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</si>
  <si>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</si>
  <si>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</si>
  <si>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</si>
  <si>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</si>
  <si>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</si>
  <si>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2010</t>
  </si>
  <si>
    <t>0731</t>
  </si>
  <si>
    <t>Багатопрофільна стаціонарна медична допомога населенню</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</si>
  <si>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</si>
  <si>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</si>
  <si>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</si>
  <si>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</si>
  <si>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</si>
  <si>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</si>
  <si>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</si>
  <si>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</si>
  <si>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</si>
  <si>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</si>
  <si>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</si>
  <si>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</si>
  <si>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</si>
  <si>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</si>
  <si>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</si>
  <si>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</si>
  <si>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</si>
  <si>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</si>
  <si>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</si>
  <si>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</si>
  <si>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</si>
  <si>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</si>
  <si>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</si>
  <si>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</si>
  <si>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</si>
  <si>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</si>
  <si>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</si>
  <si>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</si>
  <si>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</si>
  <si>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</si>
  <si>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</si>
  <si>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</si>
  <si>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</si>
  <si>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</si>
  <si>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</si>
  <si>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</si>
  <si>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</si>
  <si>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</si>
  <si>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</si>
  <si>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</si>
  <si>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</si>
  <si>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</si>
  <si>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</si>
  <si>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</si>
  <si>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</si>
  <si>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</si>
  <si>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</si>
  <si>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</si>
  <si>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</si>
  <si>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</si>
  <si>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</si>
  <si>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</si>
  <si>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0611160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</si>
  <si>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</si>
  <si>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</si>
  <si>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</si>
  <si>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</si>
  <si>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</si>
  <si>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</si>
  <si>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</si>
  <si>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</si>
  <si>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</si>
  <si>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</si>
  <si>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</si>
  <si>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</si>
  <si>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</si>
  <si>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</si>
  <si>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</si>
  <si>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</si>
  <si>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</si>
  <si>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</si>
  <si>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</si>
  <si>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</si>
  <si>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</si>
  <si>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</si>
  <si>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</si>
  <si>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</si>
  <si>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</si>
  <si>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</si>
  <si>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</si>
  <si>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</si>
  <si>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</si>
  <si>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</si>
  <si>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</si>
  <si>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</si>
  <si>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</si>
  <si>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</si>
  <si>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</si>
  <si>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</si>
  <si>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</si>
  <si>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</si>
  <si>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</si>
  <si>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</si>
  <si>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</si>
  <si>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</si>
  <si>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</si>
  <si>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</si>
  <si>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</si>
  <si>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</si>
  <si>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</si>
  <si>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</si>
  <si>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</si>
  <si>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</si>
  <si>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</si>
  <si>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</si>
  <si>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</si>
  <si>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</si>
  <si>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</si>
  <si>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</si>
  <si>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</si>
  <si>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</si>
  <si>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</si>
  <si>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</si>
  <si>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</si>
  <si>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</si>
  <si>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</si>
  <si>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</si>
  <si>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</si>
  <si>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</si>
  <si>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</si>
  <si>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</si>
  <si>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</si>
  <si>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</si>
  <si>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</si>
  <si>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</si>
  <si>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</si>
  <si>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</si>
  <si>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</si>
  <si>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</si>
  <si>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</si>
  <si>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</si>
  <si>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</si>
  <si>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</si>
  <si>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</si>
  <si>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</si>
  <si>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</si>
  <si>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</si>
  <si>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</si>
  <si>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</si>
  <si>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</si>
  <si>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</si>
  <si>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</si>
  <si>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</si>
  <si>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</si>
  <si>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</si>
  <si>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</si>
  <si>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</si>
  <si>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</si>
  <si>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</si>
  <si>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</si>
  <si>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</si>
  <si>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</si>
  <si>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</si>
  <si>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</si>
  <si>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</si>
  <si>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</si>
  <si>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</si>
  <si>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</si>
  <si>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</si>
  <si>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</si>
  <si>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</si>
  <si>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</si>
  <si>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</si>
  <si>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</si>
  <si>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</si>
  <si>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</si>
  <si>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</si>
  <si>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</si>
  <si>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</si>
  <si>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</si>
  <si>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</si>
  <si>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</si>
  <si>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</si>
  <si>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</si>
  <si>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</si>
  <si>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</si>
  <si>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</si>
  <si>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</si>
  <si>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</si>
  <si>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</si>
  <si>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</si>
  <si>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</si>
  <si>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</si>
  <si>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</si>
  <si>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</si>
  <si>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</si>
  <si>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</si>
  <si>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</si>
  <si>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</si>
  <si>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</si>
  <si>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</si>
  <si>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</si>
  <si>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</si>
  <si>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</si>
  <si>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</si>
  <si>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</si>
  <si>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</si>
  <si>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</si>
  <si>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</si>
  <si>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</si>
  <si>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</si>
  <si>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</si>
  <si>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</si>
  <si>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</si>
  <si>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</si>
  <si>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</si>
  <si>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</si>
  <si>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</si>
  <si>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</si>
  <si>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</si>
  <si>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</si>
  <si>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</si>
  <si>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</si>
  <si>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</si>
  <si>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</si>
  <si>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</si>
  <si>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</si>
  <si>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0611020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</si>
  <si>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</si>
  <si>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</si>
  <si>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</si>
  <si>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</si>
  <si>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</si>
  <si>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</si>
  <si>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</si>
  <si>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</si>
  <si>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</si>
  <si>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</si>
  <si>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</si>
  <si>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</si>
  <si>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</si>
  <si>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</si>
  <si>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</si>
  <si>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</si>
  <si>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</si>
  <si>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</si>
  <si>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</si>
  <si>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</si>
  <si>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</si>
  <si>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</si>
  <si>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</si>
  <si>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</si>
  <si>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</si>
  <si>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</si>
  <si>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</si>
  <si>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</si>
  <si>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</si>
  <si>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</si>
  <si>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</si>
  <si>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</si>
  <si>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</si>
  <si>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</si>
  <si>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</si>
  <si>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</si>
  <si>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</si>
  <si>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</si>
  <si>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</si>
  <si>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</si>
  <si>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</si>
  <si>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</si>
  <si>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</si>
  <si>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</si>
  <si>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</si>
  <si>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</si>
  <si>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</si>
  <si>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</si>
  <si>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</si>
  <si>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</si>
  <si>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</si>
  <si>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</si>
  <si>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</si>
  <si>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</si>
  <si>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</si>
  <si>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</si>
  <si>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</si>
  <si>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</si>
  <si>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</si>
  <si>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</si>
  <si>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</si>
  <si>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</si>
  <si>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</si>
  <si>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</si>
  <si>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</si>
  <si>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</si>
  <si>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</si>
  <si>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</si>
  <si>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</si>
  <si>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</si>
  <si>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</si>
  <si>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</si>
  <si>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</si>
  <si>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</si>
  <si>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</si>
  <si>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</si>
  <si>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</si>
  <si>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</si>
  <si>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</si>
  <si>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</si>
  <si>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</si>
  <si>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</si>
  <si>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</si>
  <si>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</si>
  <si>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</si>
  <si>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</si>
  <si>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</si>
  <si>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</si>
  <si>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</si>
  <si>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</si>
  <si>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</si>
  <si>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</si>
  <si>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</si>
  <si>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</si>
  <si>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</si>
  <si>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</si>
  <si>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</si>
  <si>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</si>
  <si>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</si>
  <si>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</si>
  <si>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</si>
  <si>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</si>
  <si>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</si>
  <si>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</si>
  <si>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</si>
  <si>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</si>
  <si>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</si>
  <si>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</si>
  <si>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</si>
  <si>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</si>
  <si>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</si>
  <si>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</si>
  <si>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</si>
  <si>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</si>
  <si>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</si>
  <si>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</si>
  <si>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</si>
  <si>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</si>
  <si>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</si>
  <si>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</si>
  <si>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</si>
  <si>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</si>
  <si>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</si>
  <si>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</si>
  <si>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</si>
  <si>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</si>
  <si>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</si>
  <si>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</si>
  <si>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</si>
  <si>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</si>
  <si>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</si>
  <si>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</si>
  <si>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</si>
  <si>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</si>
  <si>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</si>
  <si>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</si>
  <si>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</si>
  <si>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</si>
  <si>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</si>
  <si>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</si>
  <si>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</si>
  <si>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</si>
  <si>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</si>
  <si>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</si>
  <si>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</si>
  <si>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</si>
  <si>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</si>
  <si>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</si>
  <si>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</si>
  <si>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</si>
  <si>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</si>
  <si>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</si>
  <si>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</si>
  <si>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</si>
  <si>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</si>
  <si>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</si>
  <si>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</si>
  <si>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</si>
  <si>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</si>
  <si>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 xml:space="preserve">0611021 </t>
  </si>
  <si>
    <t xml:space="preserve">09.03.2021        №01-14/135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</si>
  <si>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</si>
  <si>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</si>
  <si>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</si>
  <si>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</si>
  <si>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</si>
  <si>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2019-2021</t>
  </si>
  <si>
    <t>09.03.2021 б/н</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</si>
  <si>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</si>
  <si>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</si>
  <si>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</si>
  <si>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0611070 </t>
  </si>
  <si>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</si>
  <si>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</si>
  <si>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</si>
  <si>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</si>
  <si>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</si>
  <si>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07.04.2021 б/н</t>
  </si>
  <si>
    <t>08.04.2021 №82/04-53</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</si>
  <si>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</si>
  <si>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</si>
  <si>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</si>
  <si>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</si>
  <si>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</si>
  <si>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</si>
  <si>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</si>
  <si>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</si>
  <si>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</si>
  <si>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</si>
  <si>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</si>
  <si>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</si>
  <si>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r>
      <t xml:space="preserve"> Перерозподіл бюджетних призначень в межах виділених річних асигнувань в сумі  342833 грн., перенесення фінансування   з КПКВ 0110150  КЕКВ 2111 в сумі 281010 грн. та КЕКВ 2120 в сумі 61823 грн.,  а саме збільшення фінансування на виплату заробітної плати  в сумі 281010 грн. КЕКВ 2111, нарахування на заробітну плату в сумі 61823 грн. КЕКВ 2120,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</si>
  <si>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23.04.2021 б/н</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</si>
  <si>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</si>
  <si>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</si>
  <si>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</si>
  <si>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</si>
  <si>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 xml:space="preserve">до рішення </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</si>
  <si>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</si>
  <si>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</si>
  <si>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</si>
  <si>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</si>
  <si>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</si>
  <si>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</si>
  <si>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21.04.2021        №946</t>
  </si>
  <si>
    <r>
      <t xml:space="preserve">Перерозподіл бюджетних призначень в межах виділених річних асигнувань в сумі 1828 грн., перенесення фінансування  на КПКВ 0110150 КЕКВ 2240, </t>
    </r>
    <r>
      <rPr>
        <b/>
        <sz val="12"/>
        <color indexed="8"/>
        <rFont val="Times New Roman"/>
        <family val="1"/>
        <charset val="204"/>
      </rPr>
      <t>зменшення фінансування на  поточний ремонт доріг КЕКВ 2240</t>
    </r>
  </si>
  <si>
    <t>29.04.2021 б/н</t>
  </si>
  <si>
    <t xml:space="preserve">07.05.2021        №314/01-14 </t>
  </si>
  <si>
    <t>0117693</t>
  </si>
  <si>
    <r>
      <t xml:space="preserve"> Перерозподіл бюджетних призначень в межах виділених річних асигнувань  в сумі  28999 грн., перенесення фінансування з КЕКВ 2240, а саме збільшення фінансування на реалізацію </t>
    </r>
    <r>
      <rPr>
        <b/>
        <sz val="12"/>
        <color theme="1"/>
        <rFont val="Times New Roman"/>
        <family val="1"/>
        <charset val="204"/>
      </rPr>
      <t>міні-проекту "Про дозвілля треба дбати - будемо здоров"я мати"</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(стіл - 3000 грн., лавки 15000 грн., урна - 980 грн., мангал - 2500 грн., ФОП Очеретяний 2 стовба на суму 700 грн., два прожектора на суму - 1800 грн.,ФОП Гедерім М.С. тротуарна плитка 22 кв.м та 8 бордюрів на суму 5019 грн.) КЕКВ 2210 (загальна вартість міні- проекту 56259 грн., з них кошти бюджету - 49999 грн.)</t>
    </r>
  </si>
  <si>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</si>
  <si>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</si>
  <si>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color indexed="8"/>
        <rFont val="Times New Roman"/>
        <family val="1"/>
        <charset val="204"/>
      </rPr>
      <t xml:space="preserve">поточного ремонту  димової труби в Новоукраїнській загальноосвітній школі І-ІІІ ступенів №4 </t>
    </r>
    <r>
      <rPr>
        <sz val="12"/>
        <color indexed="8"/>
        <rFont val="Times New Roman"/>
        <family val="1"/>
        <charset val="204"/>
      </rPr>
      <t>КЕКВ 2240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</si>
  <si>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</si>
  <si>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</si>
  <si>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t>13.05.2021 б/н</t>
  </si>
  <si>
    <t>7693</t>
  </si>
  <si>
    <t>Інші заходи, пов'язані з економічною діяльністю</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</si>
  <si>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</si>
  <si>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t>07.05.2021        №631</t>
  </si>
  <si>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</si>
  <si>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96921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збільшення фінансування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</si>
  <si>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46750 грн., перенесення фінансування з КЕКВ 2240, а саме збільшення фінансування на реалізацію </t>
    </r>
    <r>
      <rPr>
        <b/>
        <sz val="12"/>
        <rFont val="Times New Roman"/>
        <family val="1"/>
        <charset val="204"/>
      </rPr>
      <t>міні-проекту- "Здорові діти - здорова нація"</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дитячого майданчику (придбання ігрового комплексу - 19400 грн., балансир - 3700 грн. качелька - 6400 грн., качель садова - 11300 грн., качель двохмісна - 5950 грн.) КЕКВ 2210  (загальна вартість міні- проекту 62384 грн., з них кошти бюджету - 46750 грн.)</t>
    </r>
  </si>
  <si>
    <r>
      <t xml:space="preserve"> Перерозподіл бюджетних призначень в межах виділених річних асигнувань в сумі  3360 грн., перенесення фінансування з КПКВ 0116030 КЕКВ 2240, а саме збільшення фінансування на реалізацію </t>
    </r>
    <r>
      <rPr>
        <b/>
        <sz val="12"/>
        <color indexed="8"/>
        <rFont val="Times New Roman"/>
        <family val="1"/>
        <charset val="204"/>
      </rPr>
      <t>міні-проекту - "QR-місто"</t>
    </r>
    <r>
      <rPr>
        <sz val="12"/>
        <color indexed="8"/>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виготовлення фасадних табличок із композитного матеріалу (загальна вартість міні- проекту 3860 грн., з них кошти бюджету - 3360 грн.) КЕКВ 2210</t>
    </r>
  </si>
  <si>
    <r>
      <t xml:space="preserve">Перерозподіл бюджетних призначень в межах виділених річних асигнувань в сумі 317791 грн.,  перенесення фінансування  на КПКВ КПКВ 0116013 КЕКВ 2610 в сумі 130000 грн., КПКВ 0116020 КЕКВ 2610 в сумі 100000 грн., КПКВ 0116030 КЕКВ 2210 в сумі 13100 грн., КПКВ 0117693 КЕКВ 2240 в сумі 74000 грн., КПКВ 0118110 КЕКВ 2282 в сумі 691 грн., а саме </t>
    </r>
    <r>
      <rPr>
        <b/>
        <sz val="12"/>
        <rFont val="Times New Roman"/>
        <family val="1"/>
        <charset val="204"/>
      </rPr>
      <t xml:space="preserve">зменшення фінансування  на поточний ремонт дорожнього покриття </t>
    </r>
    <r>
      <rPr>
        <sz val="12"/>
        <rFont val="Times New Roman"/>
        <family val="1"/>
        <charset val="204"/>
      </rPr>
      <t>КЕКВ 2240</t>
    </r>
  </si>
  <si>
    <t>Програма Призовник</t>
  </si>
  <si>
    <r>
      <t xml:space="preserve">Перерозподіл бюджетних призначень в межах виділених річних асигнувань в сумі  1000000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КНП "Новоукраїнська  районна лікарня" </t>
    </r>
    <r>
      <rPr>
        <sz val="12"/>
        <color indexed="8"/>
        <rFont val="Times New Roman"/>
        <family val="1"/>
        <charset val="204"/>
      </rPr>
      <t>Новоукраїнської районної ради КЕКВ 2610</t>
    </r>
  </si>
  <si>
    <r>
      <t xml:space="preserve">Додаткові кошти в сумі 1000000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а саме на оплату заробітної  плати в сумі 750000 грн. та на придбання медикаментів та інші видатки для пологового відділення в сумі 250000 грн. КЕКВ 2610</t>
    </r>
  </si>
  <si>
    <t xml:space="preserve"> оплата праці пологового відділення</t>
  </si>
  <si>
    <t xml:space="preserve">придбання медикаментів та інші матеріали  для  пологового відділення </t>
  </si>
  <si>
    <t>рішення 104 від 18.05.2021 року</t>
  </si>
  <si>
    <t xml:space="preserve">0611141 </t>
  </si>
  <si>
    <t xml:space="preserve">31.05.2021        №01-14/375 </t>
  </si>
  <si>
    <t xml:space="preserve">31.05.2021        №01-14/373 </t>
  </si>
  <si>
    <t xml:space="preserve">31.05.2021        №01-14/372 </t>
  </si>
  <si>
    <t>02.06.2021 №53/01-29</t>
  </si>
  <si>
    <r>
      <t>Додаткові кошти в сумі 5405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</si>
  <si>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68000 грн. на </t>
    </r>
    <r>
      <rPr>
        <b/>
        <sz val="12"/>
        <color indexed="8"/>
        <rFont val="Times New Roman"/>
        <family val="1"/>
        <charset val="204"/>
      </rPr>
      <t xml:space="preserve"> оплату праці з нарахуванням завідувачів та молодшого медичного персоналу ФАПів, що обслуговують сільське населення </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</si>
  <si>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10212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t>
    </r>
    <r>
      <rPr>
        <b/>
        <sz val="12"/>
        <color indexed="8"/>
        <rFont val="Times New Roman"/>
        <family val="1"/>
        <charset val="204"/>
      </rPr>
      <t>на оплату послуг з перезарядки вогнегасників  по Новоукраїнських комунальних ДНЗ громади</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</si>
  <si>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поточного ремонту частини покрівлі  будівлі Захарівської філії Новоукраїнського НВК №8 "Ліцей - заклад дошкільної освіти" за адресою: Новоукраїнський район, с. Захарівка, пр. Шкільний, 4</t>
    </r>
    <r>
      <rPr>
        <sz val="12"/>
        <color indexed="8"/>
        <rFont val="Times New Roman"/>
        <family val="1"/>
        <charset val="204"/>
      </rPr>
      <t xml:space="preserve"> КЕКВ 2240 </t>
    </r>
  </si>
  <si>
    <t xml:space="preserve">03.06.2021        №01-14/385 </t>
  </si>
  <si>
    <t>рішення 278 від 25.05.2021 року</t>
  </si>
  <si>
    <r>
      <t xml:space="preserve">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соціальної підтримки населення на території Новоукраїнської міської об'єднаної територіальної громади на 2021-2023 роки для відшкодування коштів за пільговий проїзд учасникам бойових дій Другої Світової   війни, бойових дій на території інших країн, особам з інвалідністю внаслідок війни та членам сімей загиблих воїнів-  інтернаціоналістів </t>
    </r>
    <r>
      <rPr>
        <sz val="12"/>
        <color indexed="8"/>
        <rFont val="Times New Roman"/>
        <family val="1"/>
        <charset val="204"/>
      </rPr>
      <t>Новоукраїнської міської ради,  КЕКВ 2730</t>
    </r>
  </si>
  <si>
    <t xml:space="preserve">03.06.2021  б/н </t>
  </si>
  <si>
    <t>на придбання медикаментів (забезпечення безкоштовним пільговим відпуском медикаментів та інших)</t>
  </si>
  <si>
    <r>
      <t>Додаткові кошти в сумі 10980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</si>
  <si>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44530 грн., перерозподіл видатків між головними розпорядниками коштів з головного розпорядника коштів відділу освіти  на головного розпорядника коштів  виконавчий комітет Новоукраїнської міської ради  на КПКВ 0110150  КЕКВ 2111 в сумі 36500 грн. та КЕКВ 2120 в сумі 8030 грн.,  а саме зменшення фінансування  на виплату </t>
    </r>
    <r>
      <rPr>
        <b/>
        <sz val="12"/>
        <rFont val="Times New Roman"/>
        <family val="1"/>
        <charset val="204"/>
      </rPr>
      <t xml:space="preserve">заробітної плати  </t>
    </r>
    <r>
      <rPr>
        <sz val="12"/>
        <rFont val="Times New Roman"/>
        <family val="1"/>
        <charset val="204"/>
      </rPr>
      <t xml:space="preserve">в сумі  36500 грн. КЕКВ 2111, нарахування на заробітну плату в сумі 8030 грн. КЕКВ 2120, </t>
    </r>
    <r>
      <rPr>
        <b/>
        <sz val="12"/>
        <rFont val="Times New Roman"/>
        <family val="1"/>
        <charset val="204"/>
      </rPr>
      <t>у зв'язку з перенесенням однієї посади сторожа з Новоукраїнського НВК №8 "Загальноосвітня школа І-ІІ ступенів - дошкільний навчальний заклад до виконавчого комітету</t>
    </r>
    <r>
      <rPr>
        <sz val="12"/>
        <rFont val="Times New Roman"/>
        <family val="1"/>
        <charset val="204"/>
      </rPr>
      <t xml:space="preserve"> Новоукраїнської міської ради,  відповідно з внесеними змінами до структури</t>
    </r>
  </si>
  <si>
    <r>
      <t xml:space="preserve">Перерозподіл бюджетних призначень в межах виділених річних асигнувань в сумі 1460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 </t>
    </r>
    <r>
      <rPr>
        <b/>
        <sz val="12"/>
        <color indexed="8"/>
        <rFont val="Times New Roman"/>
        <family val="1"/>
        <charset val="204"/>
      </rPr>
      <t>перезарядки вогнегасників</t>
    </r>
    <r>
      <rPr>
        <sz val="12"/>
        <color indexed="8"/>
        <rFont val="Times New Roman"/>
        <family val="1"/>
        <charset val="204"/>
      </rPr>
      <t xml:space="preserve">  по центру дитячої та юнацької творчості "Зоріт" КЕКВ 2240 </t>
    </r>
  </si>
  <si>
    <r>
      <t>Перерозподіл бюджетних призначень в межах виділених річних асигнувань в сумі 2482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t>
    </r>
    <r>
      <rPr>
        <b/>
        <sz val="12"/>
        <color indexed="8"/>
        <rFont val="Times New Roman"/>
        <family val="1"/>
        <charset val="204"/>
      </rPr>
      <t xml:space="preserve"> перезарядки вогнегасників </t>
    </r>
    <r>
      <rPr>
        <sz val="12"/>
        <color indexed="8"/>
        <rFont val="Times New Roman"/>
        <family val="1"/>
        <charset val="204"/>
      </rPr>
      <t xml:space="preserve"> по МНВК  КЕКВ 2240 </t>
    </r>
  </si>
  <si>
    <t xml:space="preserve">Перерозподіл бюджетних призначень в межах виділених річних асигнувань в сумі 23500 грн., перенесення фінансування з КПКВ 0117363 КЕКВ 3142, а саме збільшення фінансування на придбання глибинного насосу  для Новоукраїнського ЖКП,  для вирішення питання безперебійного водопостачання на ремонт свердловини по вул.Шевченка КЕКВ 3110 </t>
  </si>
  <si>
    <t>14.06.2021 №165</t>
  </si>
  <si>
    <r>
      <t xml:space="preserve">Перерозподіл бюджетних призначень в межах виділених річних асигнувань в сумі 58406 грн.,  перенесення фінансування  з КПКВ 0611010 КЕКВ2275 в сумі 34000 грн., з КПКВ 0611070 КЕКВ2275 в сумі 11962 грн., з КПКВ 0611141 КЕКВ2275 в сумі 12444 грн., в зв'язку з економією коштів  та збільшення фінансування на </t>
    </r>
    <r>
      <rPr>
        <b/>
        <sz val="12"/>
        <color indexed="8"/>
        <rFont val="Times New Roman"/>
        <family val="1"/>
        <charset val="204"/>
      </rPr>
      <t xml:space="preserve">придбання вугілля для Новоукраїнських загальноосвітніх  навчальних </t>
    </r>
    <r>
      <rPr>
        <sz val="12"/>
        <color indexed="8"/>
        <rFont val="Times New Roman"/>
        <family val="1"/>
        <charset val="204"/>
      </rPr>
      <t>закладах громади КЕКВ 2275 КПКВ 0611021</t>
    </r>
  </si>
  <si>
    <t>28521/5/11-28-24-04 від 17.05.21 постанова № 1330 від 28.12.20</t>
  </si>
  <si>
    <r>
      <t xml:space="preserve">Перерозподіл бюджетних призначень в межах виділених річних асигнувань в сумі  22000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2240,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</si>
  <si>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r>
      <t xml:space="preserve">Перерозподіл бюджетних призначень в межах виділених річних асигнувань в сумі  49000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</si>
  <si>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t>29.06.2021        №186</t>
  </si>
  <si>
    <t>29.06.2021        №87</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</si>
  <si>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</si>
  <si>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0117540</t>
  </si>
  <si>
    <t>7540</t>
  </si>
  <si>
    <t>0460</t>
  </si>
  <si>
    <t>Реалізація заходів, спрямованих на підвищення доступності широкосмугового доступу до Інтернету в сільській місцевості</t>
  </si>
  <si>
    <t>22.06.2021 б/н</t>
  </si>
  <si>
    <t>0611182</t>
  </si>
  <si>
    <t xml:space="preserve">02.07.2021        №01-14/414 </t>
  </si>
  <si>
    <t>Додаткові кошти на  співфінансування в розмірі 10 % в сумі 2500 грн., відповідно до розпорядження голови ОДА № 265-р від 03 травня 2018 року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на оплату витрат на відрядження вчителів, асистентів вчителів закладів загальної середньої освіти з інклюзивним та інтегрованим навчанням КЕКВ 2250 та на закупівлю дидактичних матеріалів, сучасних меблів в сумі 45200 грн. КЕКВ 2210</t>
  </si>
  <si>
    <t>29.06.2021 б/н</t>
  </si>
  <si>
    <t>17.06.2021 №131/04-53</t>
  </si>
  <si>
    <t>17.06.2021 №130/04-53</t>
  </si>
  <si>
    <r>
      <t xml:space="preserve"> Перерозподіл бюджетних призначень в межах виділених річних асигнувань в сумі  236673 грн.,  перенесення фінансування   на КПКВ 0116013 КЕКВ 2610 в сумі 75000 грн. та 0116020 КЕКВ 2610 в сумі 161673 грн.,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</si>
  <si>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t xml:space="preserve">02.07.2021        №01-14/415 </t>
  </si>
  <si>
    <t>0611181</t>
  </si>
  <si>
    <r>
      <t xml:space="preserve">Перерозподіл бюджетних призначень в межах виділених річних асигнувань в сумі 48920 грн., перенесення фінансування з КПКВ 0611021 КЕКВ 3110,  саме збільшення фінансування на </t>
    </r>
    <r>
      <rPr>
        <b/>
        <sz val="12"/>
        <color indexed="8"/>
        <rFont val="Times New Roman"/>
        <family val="1"/>
        <charset val="204"/>
      </rPr>
      <t xml:space="preserve">виготовлення проекту "Капітальний ремонт  котельні (заміна опалювального котла) в Новоукраїнській загальноосвітній школі І-ІІІ ступенів №4 </t>
    </r>
    <r>
      <rPr>
        <sz val="12"/>
        <color indexed="8"/>
        <rFont val="Times New Roman"/>
        <family val="1"/>
        <charset val="204"/>
      </rPr>
      <t xml:space="preserve">Новоукраїнської міської радиза адресою: вул. Толстого, 7а в м.Новоукраїнка  Кіровоградської обл." КЕКВ 3132 </t>
    </r>
  </si>
  <si>
    <t>30.06.2021        №182/01-20</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</si>
  <si>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на КПКВ 1014082 КЕКВ 2240, </t>
    </r>
    <r>
      <rPr>
        <b/>
        <sz val="12"/>
        <color indexed="8"/>
        <rFont val="Times New Roman"/>
        <family val="1"/>
        <charset val="204"/>
      </rPr>
      <t xml:space="preserve">зменшення фінансування  на придбання бензину в сумі 30000 грн., газу в  сумі 10000 грн.,  оприскувачів сумі 5000 грн. </t>
    </r>
    <r>
      <rPr>
        <sz val="12"/>
        <color indexed="8"/>
        <rFont val="Times New Roman"/>
        <family val="1"/>
        <charset val="204"/>
      </rPr>
      <t>КЕКВ 2210</t>
    </r>
  </si>
  <si>
    <r>
      <t>Додаткові кошти в сумі 1254375 грн., відповідно  до постанови Кабінету Міністрів України від 28 квітня 2021 р. N 453</t>
    </r>
    <r>
      <rPr>
        <b/>
        <sz val="12"/>
        <rFont val="Times New Roman"/>
        <family val="1"/>
        <charset val="204"/>
      </rPr>
      <t xml:space="preserve">  та розпорядження КМУ №622-р від 09 червня 2021 року,  на реалізацію заходів, спрямованих на підвищення доступності широкосмугового доступу до Інтернету в сільській місцевості, за рахунок коштів субвенції з державного бюджету місцевим бюджетам на головного розпорядника коштів </t>
    </r>
    <r>
      <rPr>
        <sz val="12"/>
        <rFont val="Times New Roman"/>
        <family val="1"/>
        <charset val="204"/>
      </rPr>
      <t>виконавчого комітету   Новоукраїнської міської ради КЕКВ 2240</t>
    </r>
  </si>
  <si>
    <t>05.07.2020 б/н</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</si>
  <si>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0118110 КЕКВ 2210, збільшення фінансування на </t>
    </r>
    <r>
      <rPr>
        <b/>
        <sz val="12"/>
        <color indexed="8"/>
        <rFont val="Times New Roman"/>
        <family val="1"/>
        <charset val="204"/>
      </rPr>
      <t xml:space="preserve">проведення робіт з підготовки та  упорядкування території громади до відзначення Дня незалежності України та святкування дня села </t>
    </r>
    <r>
      <rPr>
        <sz val="12"/>
        <color indexed="8"/>
        <rFont val="Times New Roman"/>
        <family val="1"/>
        <charset val="204"/>
      </rPr>
      <t>КЕКВ 2240</t>
    </r>
  </si>
  <si>
    <t>1182</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</si>
  <si>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</si>
  <si>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</si>
  <si>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</si>
  <si>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 тому числі за рахунок субвенції з державного бюджету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</si>
  <si>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</si>
  <si>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0611210</t>
  </si>
  <si>
    <t>1210</t>
  </si>
  <si>
    <r>
      <t xml:space="preserve">Перерозподіл бюджетних призначень в межах виділених річних асигнувань в сумі 15000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t>
    </r>
    <r>
      <rPr>
        <b/>
        <sz val="12"/>
        <color indexed="8"/>
        <rFont val="Times New Roman"/>
        <family val="1"/>
        <charset val="204"/>
      </rPr>
      <t xml:space="preserve">для проведення технічної інвентаризації нерухомого майна водопровідного господарства з виготовленням технічного паспорту,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</si>
  <si>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212753 грн., перенесення фінансування з КПКВ 0611021 КЕКВ 2230, а саме збільшення фінансування відповідно  до постанови Кабінету Міністрів України від 4 квітня 2018 р. N 237 (із змінами) та розпорядження голови ОДА №478-р від 26 червня 2021 року, за рахунок </t>
    </r>
    <r>
      <rPr>
        <b/>
        <sz val="12"/>
        <rFont val="Times New Roman"/>
        <family val="1"/>
        <charset val="204"/>
      </rPr>
      <t>співфінансування з бюджету  Новоукраїнської  міської  територіальної громади на закупівлю засобів навчання та обладнання, сучасних меблів, комп'ютерного обладнання</t>
    </r>
    <r>
      <rPr>
        <sz val="12"/>
        <rFont val="Times New Roman"/>
        <family val="1"/>
        <charset val="204"/>
      </rPr>
      <t xml:space="preserve"> КЕКВ 2210</t>
    </r>
  </si>
  <si>
    <r>
      <t xml:space="preserve">Додаткові кошти  в сумі 666841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</si>
  <si>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r>
      <t>Перерозподіл бюджетних призначень в межах виділених річних асигнувань в сумі 156566 грн., перенесення фінансування  з КПКВ 0611200 КЕКВ 3110, а саме збільшення фінансування</t>
    </r>
    <r>
      <rPr>
        <b/>
        <sz val="12"/>
        <color indexed="8"/>
        <rFont val="Times New Roman"/>
        <family val="1"/>
        <charset val="204"/>
      </rPr>
      <t xml:space="preserve"> для придбання спеціальних засобів корекції психофізичного розвитку для осіб з особливими освітніми потребами</t>
    </r>
    <r>
      <rPr>
        <sz val="12"/>
        <color indexed="8"/>
        <rFont val="Times New Roman"/>
        <family val="1"/>
        <charset val="204"/>
      </rPr>
      <t>, так як вартість одиниці товару становить менше 20000 грн. КЕКВ 2210</t>
    </r>
  </si>
  <si>
    <r>
      <t>Додаткові кошти  в сумі  308900 грн.,  а саме відповідно  до постанови Кабінету Міністрів України від 02  червня 2021 р. N 585 та розпорядження голови ОДА №476-р від 24 червня 2021 року, з</t>
    </r>
    <r>
      <rPr>
        <b/>
        <sz val="12"/>
        <color indexed="8"/>
        <rFont val="Times New Roman"/>
        <family val="1"/>
        <charset val="204"/>
      </rPr>
      <t>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t>
    </r>
    <r>
      <rPr>
        <sz val="12"/>
        <color indexed="8"/>
        <rFont val="Times New Roman"/>
        <family val="1"/>
        <charset val="204"/>
      </rPr>
      <t xml:space="preserve"> КЕКВ 2730</t>
    </r>
  </si>
  <si>
    <r>
      <t xml:space="preserve">Перерозподіл бюджетних призначень в межах виділених річних асигнувань в сумі 10700 грн., перенесення фінансування   на КПКВ 0116030 КЕКВ 2240,  а </t>
    </r>
    <r>
      <rPr>
        <b/>
        <sz val="12"/>
        <color theme="1"/>
        <rFont val="Times New Roman"/>
        <family val="1"/>
        <charset val="204"/>
      </rPr>
      <t>саме зменшення фінансування  з міні - проектів у зв'язку з економією коштів</t>
    </r>
    <r>
      <rPr>
        <sz val="12"/>
        <color theme="1"/>
        <rFont val="Times New Roman"/>
        <family val="1"/>
        <charset val="204"/>
      </rPr>
      <t xml:space="preserve">   КЕКВ 3110</t>
    </r>
  </si>
  <si>
    <r>
      <t xml:space="preserve">Перерозподіл бюджетних призначень в межах виділених річних асигнувань в сумі 156566 грн., перенесення фінансування  на КПКВ 0611200 КЕКВ 2210, а саме </t>
    </r>
    <r>
      <rPr>
        <b/>
        <sz val="12"/>
        <color indexed="8"/>
        <rFont val="Times New Roman"/>
        <family val="1"/>
        <charset val="204"/>
      </rPr>
      <t xml:space="preserve">зменшення фінансування для придбання спеціальних засобів корекції психофізичного розвитку для осіб з особливими освітніми потребами, так як вартість одиниці товару становить менше 20000 грн. </t>
    </r>
    <r>
      <rPr>
        <sz val="12"/>
        <color indexed="8"/>
        <rFont val="Times New Roman"/>
        <family val="1"/>
        <charset val="204"/>
      </rPr>
      <t>КЕКВ 3110</t>
    </r>
  </si>
  <si>
    <r>
      <t xml:space="preserve">Перерозподіл бюджетних призначень в межах виділених річних асигнувань в сумі 29000 грн., перенесення фінансування на  КПКВ 0116030  КЕКВ 2210,  а саме зменшення фінансування  </t>
    </r>
    <r>
      <rPr>
        <b/>
        <sz val="12"/>
        <color indexed="8"/>
        <rFont val="Times New Roman"/>
        <family val="1"/>
        <charset val="204"/>
      </rPr>
      <t xml:space="preserve">на придбання бензину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</si>
  <si>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13000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t>
    </r>
    <r>
      <rPr>
        <b/>
        <sz val="12"/>
        <rFont val="Times New Roman"/>
        <family val="1"/>
        <charset val="204"/>
      </rPr>
      <t xml:space="preserve"> на утеплення частини стелі приміщення КУ "Центр соціальних послуг" </t>
    </r>
    <r>
      <rPr>
        <sz val="12"/>
        <rFont val="Times New Roman"/>
        <family val="1"/>
        <charset val="204"/>
      </rPr>
      <t xml:space="preserve"> КЕКВ 2240</t>
    </r>
  </si>
  <si>
    <r>
      <t xml:space="preserve"> 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 </t>
    </r>
    <r>
      <rPr>
        <b/>
        <sz val="12"/>
        <rFont val="Times New Roman"/>
        <family val="1"/>
        <charset val="204"/>
      </rPr>
      <t xml:space="preserve">проведення ринкової оціночної вартості кабінетів  приміщення КУ "Центр соціальних послуг" </t>
    </r>
    <r>
      <rPr>
        <sz val="12"/>
        <rFont val="Times New Roman"/>
        <family val="1"/>
        <charset val="204"/>
      </rPr>
      <t xml:space="preserve"> КЕКВ 2240</t>
    </r>
  </si>
  <si>
    <r>
      <t xml:space="preserve">Перерозподіл бюджетних призначень в межах виділених річних асигнувань в сумі  175000 грн., перенесення фінансування  на КПКВ 1017330 КЕКВ 3132,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</si>
  <si>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 Перерозподіл бюджетних призначень в межах виділених річних асигнувань в сумі  175000 грн.,  перенесення фінансування   на КПКВ 0117461 КЕКВ 3132,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</si>
  <si>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r>
      <t xml:space="preserve">Перерозподіл бюджетних призначень в межах виділених річних асигнувань в сумі 64745 грн., перенесення фінансування з КПКВ 0611021 КЕКВ 2230, а саме збільшення фінансування  </t>
    </r>
    <r>
      <rPr>
        <b/>
        <sz val="12"/>
        <color indexed="8"/>
        <rFont val="Times New Roman"/>
        <family val="1"/>
        <charset val="204"/>
      </rPr>
      <t xml:space="preserve">на оплату  поточного ремонту покрівель філії Загальноосвітньої школи №3 Новоукраїнської загальноосвітньої школи І-ІІІ ступенів №6 та   Новоукраїнського навчально-виховного комплексу "Загальноосвітня школа І ступеня  з поглибленим вивченням англійської мови- гімназія "Лідер" </t>
    </r>
    <r>
      <rPr>
        <sz val="12"/>
        <color indexed="8"/>
        <rFont val="Times New Roman"/>
        <family val="1"/>
        <charset val="204"/>
      </rPr>
      <t xml:space="preserve">КЕКВ 2240,  </t>
    </r>
    <r>
      <rPr>
        <b/>
        <sz val="12"/>
        <color indexed="8"/>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</si>
  <si>
    <r>
      <t xml:space="preserve">Перерозподіл бюджетних призначень в межах виділених річних асигнувань в сумі 67593 грн., перенесення фінансування з КПКВ 0611070 КЕКВ 2240, а саме збільшення фінансування   в сумі 61455 грн. на оплату  поточного ремонту покрівель філії Загальноосвітньої школи №3 Новоукраїнської загальноосвітньої школи І-ІІІ ступенів №6, </t>
    </r>
    <r>
      <rPr>
        <b/>
        <sz val="12"/>
        <color indexed="8"/>
        <rFont val="Times New Roman"/>
        <family val="1"/>
        <charset val="204"/>
      </rPr>
      <t>для встановлення снігозатримувачів для покрівлі та облаштування системою блискавозахисту будівлі Фурманівського закладу початкової та базової середньої освіти  та для виготовлення енергопаспорту Новоукраїнської загальноосвітньої школи І-ІІІ ступенів №4 КЕКВ 2240,   в сумі 6138 грн. на придбання  будівельних матеріалів для поточних ремонтів</t>
    </r>
    <r>
      <rPr>
        <sz val="12"/>
        <color indexed="8"/>
        <rFont val="Times New Roman"/>
        <family val="1"/>
        <charset val="204"/>
      </rPr>
      <t xml:space="preserve">, </t>
    </r>
    <r>
      <rPr>
        <b/>
        <sz val="12"/>
        <color indexed="8"/>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</si>
  <si>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67593  грн., перенесення фінансування на КПКВ 0611021 КЕКВ 2210, зменшення фінансування по КЕКВ2240, в </t>
    </r>
    <r>
      <rPr>
        <b/>
        <sz val="12"/>
        <color indexed="8"/>
        <rFont val="Times New Roman"/>
        <family val="1"/>
        <charset val="204"/>
      </rPr>
      <t xml:space="preserve">зв'язку з економією коштів на проведення оздоровлення дітей у літньому таборі на базі центру дитячої та юнацької творчості "Зоріт"  </t>
    </r>
  </si>
  <si>
    <r>
      <t xml:space="preserve">Перерозподіл бюджетних призначень в межах виділених річних асигнувань в сумі 5000 грн., перенесення фінансування   на КПКВ 0116030 КЕКВ 2240,  а саме </t>
    </r>
    <r>
      <rPr>
        <b/>
        <sz val="12"/>
        <color indexed="8"/>
        <rFont val="Times New Roman"/>
        <family val="1"/>
        <charset val="204"/>
      </rPr>
      <t>зменшення фінансування  з   придбання трактора МТЗ 1523</t>
    </r>
    <r>
      <rPr>
        <sz val="12"/>
        <color indexed="8"/>
        <rFont val="Times New Roman"/>
        <family val="1"/>
        <charset val="204"/>
      </rPr>
      <t xml:space="preserve"> </t>
    </r>
    <r>
      <rPr>
        <b/>
        <sz val="12"/>
        <color indexed="8"/>
        <rFont val="Times New Roman"/>
        <family val="1"/>
        <charset val="204"/>
      </rPr>
      <t xml:space="preserve">для  Новоукраїнського ЖКП </t>
    </r>
    <r>
      <rPr>
        <sz val="12"/>
        <color indexed="8"/>
        <rFont val="Times New Roman"/>
        <family val="1"/>
        <charset val="204"/>
      </rPr>
      <t xml:space="preserve">КЕКВ 3110  </t>
    </r>
    <r>
      <rPr>
        <b/>
        <sz val="12"/>
        <color indexed="8"/>
        <rFont val="Times New Roman"/>
        <family val="1"/>
        <charset val="204"/>
      </rPr>
      <t>за рахунок економії коштів</t>
    </r>
  </si>
  <si>
    <r>
      <t>Перерозподіл бюджетних призначень в межах виділених річних асигнувань в сумі 175000 грн.,  перенесення фінансування  з КПКВ 0117363 КЕКВ 3142, а саме збільшення фінансування  на</t>
    </r>
    <r>
      <rPr>
        <b/>
        <sz val="12"/>
        <rFont val="Times New Roman"/>
        <family val="1"/>
        <charset val="204"/>
      </rPr>
      <t xml:space="preserve"> виготовлення проектів на "Капітальний ремонт  вул.  Богдана Хмельницького - гребля- пров. Ковальський (на ділянці від вул. М.Вороного до вул. Покровська в м. Новоукраїнка" та  "Капітальний ремонт   місцевої дороги загального користування О 121402 від с. Новоолександрівка до с.Звірівка"  </t>
    </r>
    <r>
      <rPr>
        <sz val="12"/>
        <rFont val="Times New Roman"/>
        <family val="1"/>
        <charset val="204"/>
      </rPr>
      <t>КЕКВ 3132</t>
    </r>
  </si>
  <si>
    <r>
      <t xml:space="preserve">Перерозподіл бюджетних призначень в межах виділених річних асигнувань в сумі 48920 грн., перенесення фінансування на КПКВ 0617321 КЕКВ 3132, а </t>
    </r>
    <r>
      <rPr>
        <b/>
        <sz val="12"/>
        <color indexed="8"/>
        <rFont val="Times New Roman"/>
        <family val="1"/>
        <charset val="204"/>
      </rPr>
      <t xml:space="preserve">саме зменшення фінансування  на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t>
    </r>
    <r>
      <rPr>
        <sz val="12"/>
        <color indexed="8"/>
        <rFont val="Times New Roman"/>
        <family val="1"/>
        <charset val="204"/>
      </rPr>
      <t xml:space="preserve">КЕКВ 3110 постановою Кабінету Міністрів України від 21 квітня 2021 р. № 403 Деякі питання надання субвенції з державного бюджету місцевим бюджетам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та співфінансування10%  ноутбуки
</t>
    </r>
  </si>
  <si>
    <t>до рішення Новоукраїнської міської ради</t>
  </si>
  <si>
    <r>
      <t xml:space="preserve">Перерозподіл бюджетних призначень в межах виділених річних асигнувань в сумі 17040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Новоукраїнського ЖКП,  для придбання запасних частин до грейдера </t>
    </r>
    <r>
      <rPr>
        <sz val="12"/>
        <color indexed="8"/>
        <rFont val="Times New Roman"/>
        <family val="1"/>
        <charset val="204"/>
      </rPr>
      <t xml:space="preserve">КЕКВ 2610 </t>
    </r>
  </si>
  <si>
    <t>рішення №509 від 30.06.2021 року</t>
  </si>
  <si>
    <r>
      <t>Додаткові кошти в сумі 31700 грн.</t>
    </r>
    <r>
      <rPr>
        <b/>
        <sz val="12"/>
        <color indexed="8"/>
        <rFont val="Times New Roman"/>
        <family val="1"/>
        <charset val="204"/>
      </rPr>
      <t xml:space="preserve"> на придбання будівельних матеріалів,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</si>
  <si>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3000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</si>
  <si>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422 від 08.07.2021 року</t>
  </si>
  <si>
    <r>
      <t>Додаткові кошти в сумі 60000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та продуктів харчування,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</si>
  <si>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 588 від 13.07.2021 року</t>
  </si>
  <si>
    <r>
      <t>Додаткові кошти в сумі 50000 грн.</t>
    </r>
    <r>
      <rPr>
        <b/>
        <sz val="12"/>
        <color indexed="8"/>
        <rFont val="Times New Roman"/>
        <family val="1"/>
        <charset val="204"/>
      </rPr>
      <t xml:space="preserve"> для проведення поточного ремонту пандусів приміщень ФАП та ФП,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</si>
  <si>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в сумі 112376 грн.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 на умовах співфінансування з бюджету  Новоукраїнської  міської  територіальної громади в розмірі 10% відповідно  до постанови Кабінету Міністрів України від 21 квітня 2021 р.№ 403 Деякі питання надання субвенції з державного бюджету місцевим бюджетам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та розпорядження голови ОДА №523-р від 22 липня 2021 рокуКЕКВ 3220, за рахунок  перенесення фінансування з головного розпорядника коштів відділ освіти з КПКВ 0611010 КЕКВ 2230 на головного розпорядника коштів фінансове управління</t>
  </si>
  <si>
    <t xml:space="preserve">29.07.2021        №01-14/459 </t>
  </si>
  <si>
    <t>0611171</t>
  </si>
  <si>
    <r>
      <t xml:space="preserve">Перерозподіл бюджетних призначень в межах виділених річних асигнувань в сумі 99500 грн., перенесення фінансування з КПКВ 0611021 КЕКВ 2230, а саме збільшення фінансування відповідно  до листа Міністрства освіти і науки України від 21 липня 2021 р.№ 1/11-5373, за рахунок </t>
    </r>
    <r>
      <rPr>
        <b/>
        <sz val="12"/>
        <rFont val="Times New Roman"/>
        <family val="1"/>
        <charset val="204"/>
      </rPr>
      <t>співфінансування з бюджету  Новоукраїнської  міської  територіальної громади на реалізацію програми "Спроможна школа для кращих результатів"</t>
    </r>
    <r>
      <rPr>
        <sz val="12"/>
        <rFont val="Times New Roman"/>
        <family val="1"/>
        <charset val="204"/>
      </rPr>
      <t xml:space="preserve"> КЕКВ 3110</t>
    </r>
  </si>
  <si>
    <t>29.07.2021 б/н</t>
  </si>
  <si>
    <t>02.08.2021 №22</t>
  </si>
  <si>
    <t>23.07.2021        №94</t>
  </si>
  <si>
    <t>23.07.2021 №206</t>
  </si>
  <si>
    <t>23.07.2021 №207</t>
  </si>
  <si>
    <r>
      <t xml:space="preserve">Перерозподіл бюджетних призначень в межах виділених річних асигнувань в сумі 99500 грн., перенесення фінансування на КПКВ 0611171 КЕКВ 3110, а саме зменшення фінансування  </t>
    </r>
    <r>
      <rPr>
        <b/>
        <sz val="12"/>
        <rFont val="Times New Roman"/>
        <family val="1"/>
        <charset val="204"/>
      </rPr>
      <t>на харчування дітей ,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</si>
  <si>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t>0611172</t>
  </si>
  <si>
    <t xml:space="preserve">29.07.2021        №01-14/458 </t>
  </si>
  <si>
    <t>22.07.2021     №01-14/453</t>
  </si>
  <si>
    <t>29.07.2021     №01-14/458</t>
  </si>
  <si>
    <t>22.07.2021        №01-14/453</t>
  </si>
  <si>
    <r>
      <t xml:space="preserve">Додаткові кошти  в сумі 895500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обласного бюджету на реалізацію програми "Спроможна школа для кращих результатів"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</si>
  <si>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</si>
  <si>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</si>
  <si>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</si>
  <si>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</si>
  <si>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Субвенція з місцевого бюджету на реалізацію програми "Спроможна школа для кращих результатів" за рахунок відповідної субвенції з державного бюджету</t>
  </si>
  <si>
    <t>для проведення поточного ремонту пандусів приміщень ФАП та ФП</t>
  </si>
  <si>
    <r>
      <t xml:space="preserve">Перерозподіл бюджетних призначень в межах виділених річних асигнувань в сумі 45635 грн., перенесення фінансування на КПКВ 0611010 КЕКВ 2275, а саме зменшення фінансування  </t>
    </r>
    <r>
      <rPr>
        <b/>
        <sz val="12"/>
        <rFont val="Times New Roman"/>
        <family val="1"/>
        <charset val="204"/>
      </rPr>
      <t>на харчування дітей загальноосвітніх  навчальних закладів громади,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</si>
  <si>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60000 грн., перенесення фінансування на КПКВ 0611010 КЕКВ 2275,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</si>
  <si>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105635 грн., перенесення фінансування  з  КПКВ 0611010 КЕКВ 2230 в сумі 60000 грн., КПКВ 0611021 КЕКВ 2230 в сумі 45635 грн.,  збільшення фінансування </t>
    </r>
    <r>
      <rPr>
        <b/>
        <sz val="12"/>
        <color indexed="8"/>
        <rFont val="Times New Roman"/>
        <family val="1"/>
        <charset val="204"/>
      </rPr>
      <t>на придбання вугілля пелетів для комунальних ДНЗ громади КЕКВ 2275</t>
    </r>
  </si>
  <si>
    <t xml:space="preserve">02.08.2021        №01-14/461 </t>
  </si>
  <si>
    <t>Перерозподіл бюджетних призначень в межах виділених річних асигнувань в сумі 10000 грн., перенесення фінансування на КПКВ 0611141 КЕКВ 2210 в сумі 3000 грн.,  КЕКВ 2240 в сумі 5000 грн. та КЕКВ 2800 в сумі 2000 грн., а саме зменшення фінансування  на підвезення дітей,  у зв'язку з економією коштів  КЕКВ 2240</t>
  </si>
  <si>
    <r>
      <t xml:space="preserve">Перерозподіл бюджетних призначень в межах виділених річних асигнувань в сумі 10000 грн., перенесення фінансування  з  КПКВ 0611142 КЕКВ 2240,  збільшення фінансування </t>
    </r>
    <r>
      <rPr>
        <b/>
        <sz val="12"/>
        <color indexed="8"/>
        <rFont val="Times New Roman"/>
        <family val="1"/>
        <charset val="204"/>
      </rPr>
      <t>на придбання фіранок на вікна для шкільного автобуса КЕКВ 2210 в сумі 3000 грн., на оплату послуг КЕКВ 2240 в сумі 5000 грн. та оплату послуг з реєстрації шкільного автобуса КЕКВ 2800 в сумі 2000 грн.</t>
    </r>
  </si>
  <si>
    <t>ДБ інсулін</t>
  </si>
  <si>
    <t>рн томограф</t>
  </si>
  <si>
    <r>
      <t xml:space="preserve">Перерозподіл бюджетних призначень в межах виділених річних асигнувань в сумі 181000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для </t>
    </r>
    <r>
      <rPr>
        <b/>
        <sz val="12"/>
        <color indexed="8"/>
        <rFont val="Times New Roman"/>
        <family val="1"/>
        <charset val="204"/>
      </rPr>
      <t xml:space="preserve">оплати електроенергії </t>
    </r>
    <r>
      <rPr>
        <b/>
        <sz val="12"/>
        <color indexed="8"/>
        <rFont val="Times New Roman"/>
        <family val="1"/>
        <charset val="204"/>
      </rPr>
      <t xml:space="preserve">в сумі 35000 грн., для оплати обов'язкових платежів та податків в сумі 146000 грн., </t>
    </r>
    <r>
      <rPr>
        <sz val="12"/>
        <color indexed="8"/>
        <rFont val="Times New Roman"/>
        <family val="1"/>
        <charset val="204"/>
      </rPr>
      <t>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</si>
  <si>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51000 грн., перенесення фінансування   на КПКВ 0116030 КЕКВ 2273,  а саме </t>
    </r>
    <r>
      <rPr>
        <b/>
        <sz val="12"/>
        <color theme="1"/>
        <rFont val="Times New Roman"/>
        <family val="1"/>
        <charset val="204"/>
      </rPr>
      <t>зменшення фінансування  для оплати електроенергії</t>
    </r>
    <r>
      <rPr>
        <sz val="12"/>
        <color theme="1"/>
        <rFont val="Times New Roman"/>
        <family val="1"/>
        <charset val="204"/>
      </rPr>
      <t xml:space="preserve">   КЕКВ 2240</t>
    </r>
  </si>
  <si>
    <t>30.07.2021        №216/01-20</t>
  </si>
  <si>
    <t>04.08.2021 №99/01-26</t>
  </si>
  <si>
    <t>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0116030 КЕКВ 2240, а саме зменшення фінансування на КЕКВ 2730</t>
  </si>
  <si>
    <t>04.08.2021 б/н</t>
  </si>
  <si>
    <t xml:space="preserve">04.08.2021  б/н </t>
  </si>
  <si>
    <r>
      <t xml:space="preserve">Перерозподіл бюджетних призначень в межах виділених річних асигнувань в сумі 97363,42 грн., перенесення фінансування   на КПКВ 0118340 КЕКВ 2240,  а </t>
    </r>
    <r>
      <rPr>
        <b/>
        <sz val="12"/>
        <color theme="1"/>
        <rFont val="Times New Roman"/>
        <family val="1"/>
        <charset val="204"/>
      </rPr>
      <t>саме зменшення фінансування  з Придбання обладнання для збору побутових відходів (контейнерів (п.68),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t>
    </r>
    <r>
      <rPr>
        <sz val="12"/>
        <color theme="1"/>
        <rFont val="Times New Roman"/>
        <family val="1"/>
        <charset val="204"/>
      </rPr>
      <t xml:space="preserve"> за рахунок  фонду охорони навколишнього  природного середовища КЕКВ 2210</t>
    </r>
  </si>
  <si>
    <r>
      <t xml:space="preserve">Перерозподіл бюджетних призначень в межах виділених річних асигнувань в сумі 97363,42 грн., перенесення фінансування   з КПКВ 0118340 КЕКВ 2210,  а </t>
    </r>
    <r>
      <rPr>
        <b/>
        <sz val="12"/>
        <color theme="1"/>
        <rFont val="Times New Roman"/>
        <family val="1"/>
        <charset val="204"/>
      </rPr>
      <t xml:space="preserve">саме збільшення фінансування  на Рекультивація територій полігонів твердих побутових відходів (п.27-1),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 </t>
    </r>
    <r>
      <rPr>
        <sz val="12"/>
        <color theme="1"/>
        <rFont val="Times New Roman"/>
        <family val="1"/>
        <charset val="204"/>
      </rPr>
      <t xml:space="preserve"> за рахунок  фонду охорони навколишнього  природного середовища КЕКВ 2240</t>
    </r>
  </si>
  <si>
    <r>
      <t xml:space="preserve">Перерозподіл бюджетних призначень в межах виділених річних асигнувань в сумі 24500 грн., перенесення фінансування з  КЕКВ 2240, а саме зменшення фінансування </t>
    </r>
    <r>
      <rPr>
        <b/>
        <sz val="12"/>
        <color indexed="8"/>
        <rFont val="Times New Roman"/>
        <family val="1"/>
        <charset val="204"/>
      </rPr>
      <t xml:space="preserve">на  оздоровлення та відпочинок дітей, яке не відбулося внаслідок карантину </t>
    </r>
    <r>
      <rPr>
        <sz val="12"/>
        <color indexed="8"/>
        <rFont val="Times New Roman"/>
        <family val="1"/>
        <charset val="204"/>
      </rPr>
      <t>КЕКВ 2240, у зв'язку з економією коштів по спортивній школі</t>
    </r>
  </si>
  <si>
    <r>
      <t xml:space="preserve">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t>
    </r>
    <r>
      <rPr>
        <b/>
        <sz val="12"/>
        <color indexed="8"/>
        <rFont val="Times New Roman"/>
        <family val="1"/>
        <charset val="204"/>
      </rPr>
      <t>на оплату проїзду учасників змагань та послуг з покосу трави</t>
    </r>
    <r>
      <rPr>
        <sz val="12"/>
        <color indexed="8"/>
        <rFont val="Times New Roman"/>
        <family val="1"/>
        <charset val="204"/>
      </rPr>
      <t xml:space="preserve">  КЕКВ 2240 по спортивній школі</t>
    </r>
  </si>
  <si>
    <r>
      <t xml:space="preserve">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0813140 КЕКВ 2730, а саме збільшення фінансування на </t>
    </r>
    <r>
      <rPr>
        <b/>
        <sz val="12"/>
        <color theme="1"/>
        <rFont val="Times New Roman"/>
        <family val="1"/>
        <charset val="204"/>
      </rPr>
      <t>оплату послуг з благоустрою</t>
    </r>
    <r>
      <rPr>
        <sz val="12"/>
        <color theme="1"/>
        <rFont val="Times New Roman"/>
        <family val="1"/>
        <charset val="204"/>
      </rPr>
      <t xml:space="preserve"> в сумі 160000 грн. КЕКВ 2240 та </t>
    </r>
    <r>
      <rPr>
        <b/>
        <sz val="12"/>
        <color theme="1"/>
        <rFont val="Times New Roman"/>
        <family val="1"/>
        <charset val="204"/>
      </rPr>
      <t xml:space="preserve">придбання комплектуючих до контейнерів (коліс) для твердих побутових відходів </t>
    </r>
    <r>
      <rPr>
        <sz val="12"/>
        <color theme="1"/>
        <rFont val="Times New Roman"/>
        <family val="1"/>
        <charset val="204"/>
      </rPr>
      <t>в сумі 35000 грн. КЕКВ 2210</t>
    </r>
  </si>
  <si>
    <r>
      <t xml:space="preserve">Перерозподіл бюджетних призначень в межах виділених річних асигнувань в сумі 1150 грн., перенесення фінансування на КПКВ 4081 КЕКВ 2282, а саме зменшення фінансування  </t>
    </r>
    <r>
      <rPr>
        <b/>
        <sz val="12"/>
        <rFont val="Times New Roman"/>
        <family val="1"/>
        <charset val="204"/>
      </rPr>
      <t xml:space="preserve">на оплату навчання </t>
    </r>
    <r>
      <rPr>
        <sz val="12"/>
        <rFont val="Times New Roman"/>
        <family val="1"/>
        <charset val="204"/>
      </rPr>
      <t>КЕКВ 2282,  в зв'язку із економією коштів</t>
    </r>
  </si>
  <si>
    <r>
      <t xml:space="preserve"> Перерозподіл бюджетних призначень в межах виділених річних асигнувань в сумі  40624 грн., перенесення фінансування   з КПКВ 1014060  КЕКВ 2111 в сумі 33298 грн. та КЕКВ 2120 в сумі 7326 грн. , а саме збільшення фінансування на виплату заробітної плати  в сумі 33298 грн. КЕКВ 2111, нарахування на заробітну плату в сумі 7326 грн. КЕКВ 2120, </t>
    </r>
    <r>
      <rPr>
        <b/>
        <sz val="12"/>
        <rFont val="Times New Roman"/>
        <family val="1"/>
        <charset val="204"/>
      </rPr>
      <t>у зв'язку з введенням у штатний розпис краєзнавчого музею посади організатора екскурсі</t>
    </r>
    <r>
      <rPr>
        <sz val="12"/>
        <rFont val="Times New Roman"/>
        <family val="1"/>
        <charset val="204"/>
      </rPr>
      <t>й</t>
    </r>
  </si>
  <si>
    <r>
      <t>Перерозподіл бюджетних призначень в межах виділених річних асигнувань в сумі 40624 грн., перенесення фінансування на КПКВ 4040 в сумі 33298 грн. КЕКВ 2111 та в сумі 7326 грн. КЕКВ 2120, а саме зменшення фінансування  для  виплати заробітної плати вакантної посади бібліографа  в сумі 33298 грн. КЕКВ 2111 та  на нарахування на заробітну плату  в сумі 7326 грн.  КЕКВ 2120,  в зв'язку із виведенням</t>
    </r>
    <r>
      <rPr>
        <b/>
        <sz val="12"/>
        <color indexed="8"/>
        <rFont val="Times New Roman"/>
        <family val="1"/>
        <charset val="204"/>
      </rPr>
      <t xml:space="preserve"> з штатного розпису МПК "Ювілейний" посади акомпоніатора</t>
    </r>
  </si>
  <si>
    <r>
      <t xml:space="preserve">Перерозподіл бюджетних призначень в межах виділених річних асигнувань в сумі 1150 грн., перенесення фінансування з КПКВ 1010160 КЕКВ 2282, а саме збільшення фінансування  </t>
    </r>
    <r>
      <rPr>
        <b/>
        <sz val="12"/>
        <rFont val="Times New Roman"/>
        <family val="1"/>
        <charset val="204"/>
      </rPr>
      <t>для проходження навчання уповноваженої особи із закупівель</t>
    </r>
    <r>
      <rPr>
        <sz val="12"/>
        <rFont val="Times New Roman"/>
        <family val="1"/>
        <charset val="204"/>
      </rPr>
      <t xml:space="preserve"> КЕКВ 2282</t>
    </r>
  </si>
  <si>
    <t>28.07.2021 №995</t>
  </si>
  <si>
    <t>рішення 588 від 13.07.2021 року</t>
  </si>
  <si>
    <t>Перерозподіл бюджетних призначень в межах річних асигнувань  в сумі 102980 грн., виділених рішенням міської ради від 18.05.2021 року  № 271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збільшення фінансування на придбання засобів індивідуального захисту в сумі 45000 грн.,  придбання двох умивальників та унітазу в сумі 10000 грн., на придбання двох ліхтарів сигнальних світлодіодних в сумі 1980 грн., оплату послуг з проведення контролю параметрів комп'ютерного томографа в сумі 15000 грн., оплату послуг з підготовки необхідних документів щодо отримання ліцензії на право провадження діяльності з використанням джерел іонізуючого випромінювання комп'ютерного томографа в сумі 30000 грн., оплату ліцензії на право провадження діяльності з використанням джерел іонізуючого випромінювання комп'ютерного томографа в сумі 1000 грн., як одержувачу коштів управління соціального захисту та охорони здоров'я  Новоукраїнської міської ради КЕКВ 2610</t>
  </si>
  <si>
    <t>Перерозподіл бюджетних призначень в межах річних асигнувань  в сумі 102980 грн., виділених рішенням міської ради від 18.05.2021 року  № 271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зменшення фінансування для утримання пологового відділення, в зв'язку з підписанням договору з НСЗУ на надання послуг пологовим відділенням та прогнозованим невикористанням КЕКВ 2610</t>
  </si>
  <si>
    <r>
      <t xml:space="preserve">Перерозподіл бюджетних призначень в межах виділених річних асигнувань в сумі 18900 грн., перенесення фінансування   на КПКВ 0116030 КЕКВ 2240,  а саме </t>
    </r>
    <r>
      <rPr>
        <b/>
        <sz val="12"/>
        <color theme="1"/>
        <rFont val="Times New Roman"/>
        <family val="1"/>
        <charset val="204"/>
      </rPr>
      <t xml:space="preserve">зменшення фінансування  з з оплати послуг завезення води учасникам </t>
    </r>
    <r>
      <rPr>
        <sz val="12"/>
        <color theme="1"/>
        <rFont val="Times New Roman"/>
        <family val="1"/>
        <charset val="204"/>
      </rPr>
      <t xml:space="preserve"> АТО, у зв'язку з економією коштів КЕКВ 2240</t>
    </r>
  </si>
  <si>
    <r>
      <t>Додаткові кошти в сумі 18300 грн.</t>
    </r>
    <r>
      <rPr>
        <b/>
        <sz val="12"/>
        <color indexed="8"/>
        <rFont val="Times New Roman"/>
        <family val="1"/>
        <charset val="204"/>
      </rPr>
      <t xml:space="preserve"> на  оплату праці з нарахуванням найманим працівникам,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</si>
  <si>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50000 грн.</t>
    </r>
    <r>
      <rPr>
        <b/>
        <sz val="12"/>
        <color indexed="8"/>
        <rFont val="Times New Roman"/>
        <family val="1"/>
        <charset val="204"/>
      </rPr>
      <t xml:space="preserve"> на придбання будівельних матеріалів та оплату послуг по поточному ремонту пандусів приміщень ФАП та ФП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</si>
  <si>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Перерозподіл бюджетних призначень в межах виділених річних асигнувань  в сумі 27750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t>
    </r>
    <r>
      <rPr>
        <b/>
        <sz val="12"/>
        <color indexed="8"/>
        <rFont val="Times New Roman"/>
        <family val="1"/>
        <charset val="204"/>
      </rPr>
      <t>для оплати послуг з консультування та розрахунку економічно- обґрунтованих витрат за послугу централізованого водовідведення</t>
    </r>
    <r>
      <rPr>
        <sz val="12"/>
        <color indexed="8"/>
        <rFont val="Times New Roman"/>
        <family val="1"/>
        <charset val="204"/>
      </rPr>
      <t xml:space="preserve"> КЕКВ 2610 </t>
    </r>
  </si>
  <si>
    <r>
      <t xml:space="preserve">Перерозподіл бюджетних призначень в межах виділених річних асигнувань в сумі 18900 грн., перенесення фінансування з КПКВ 0116090 КЕКВ 2240, збільшення фінансування на </t>
    </r>
    <r>
      <rPr>
        <b/>
        <sz val="12"/>
        <color indexed="8"/>
        <rFont val="Times New Roman"/>
        <family val="1"/>
        <charset val="204"/>
      </rPr>
      <t xml:space="preserve">оплату послуг на вантажні перевезення </t>
    </r>
    <r>
      <rPr>
        <sz val="12"/>
        <color indexed="8"/>
        <rFont val="Times New Roman"/>
        <family val="1"/>
        <charset val="204"/>
      </rPr>
      <t>КЕКВ 2240</t>
    </r>
  </si>
  <si>
    <r>
      <t xml:space="preserve">Перерозподіл бюджетних призначень в межах виділених річних асигнувань в сумі 53265 грн., перенесення фінансування з КПКВ 0117461 КЕКВ 2240, збільшення фінансування на </t>
    </r>
    <r>
      <rPr>
        <b/>
        <sz val="12"/>
        <color indexed="8"/>
        <rFont val="Times New Roman"/>
        <family val="1"/>
        <charset val="204"/>
      </rPr>
      <t xml:space="preserve">придбання запасних частин для забезпечення роботи комунальних транспортних засобів </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</si>
  <si>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322015 грн.,  перенесення фінансування  на КПКВ 0116013 КЕКВ 2610 в сумі 87750 грн., КПКВ 0116020 КЕКВ 2610 в сумі 181000 грн.,  КПКВ 0116030 КЕКВ 2210 в сумі 53265 грн.,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</si>
  <si>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112376 грн., перенесення фінансування на КПКВ 3719770 КЕКВ 3220,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</si>
  <si>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200000 грн., перенесення фінансування з КПКВ 08120110 КЕКВ 2610, збільшення фінансування  </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</si>
  <si>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50000 грн., перенесення фінансування з КПКВ 08120110 КЕКВ 2610, збільшення фінансування   </t>
    </r>
    <r>
      <rPr>
        <b/>
        <sz val="12"/>
        <color indexed="8"/>
        <rFont val="Times New Roman"/>
        <family val="1"/>
        <charset val="204"/>
      </rPr>
      <t xml:space="preserve">для проведення поточного ремонту пандусів приміщень ФАП та ФП,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</si>
  <si>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150000 грн., перенесення фінансування з КПКВ 08120110 КЕКВ 2610, збільшення фінансування   </t>
    </r>
    <r>
      <rPr>
        <b/>
        <sz val="12"/>
        <color indexed="8"/>
        <rFont val="Times New Roman"/>
        <family val="1"/>
        <charset val="204"/>
      </rPr>
      <t xml:space="preserve">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</si>
  <si>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400000 грн., перенесення фінансування на КПКВ 08120111 КЕКВ 2610, зменшення фінансування  </t>
    </r>
    <r>
      <rPr>
        <b/>
        <sz val="12"/>
        <color indexed="8"/>
        <rFont val="Times New Roman"/>
        <family val="1"/>
        <charset val="204"/>
      </rPr>
      <t>на оплату комунальних послуг та енергоносії, як співфінансування за рахунок субвенції з бюджету Рівнянської сільської територіальної громади з КНП "Новоукраїнська  міська лікарня"</t>
    </r>
    <r>
      <rPr>
        <sz val="12"/>
        <color indexed="8"/>
        <rFont val="Times New Roman"/>
        <family val="1"/>
        <charset val="204"/>
      </rPr>
      <t xml:space="preserve"> Новоукраїнської міської ради  на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</si>
  <si>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t>
    </r>
    <r>
      <rPr>
        <b/>
        <sz val="12"/>
        <color indexed="8"/>
        <rFont val="Times New Roman"/>
        <family val="1"/>
        <charset val="204"/>
      </rPr>
      <t xml:space="preserve"> на  оздоровлення та відпочинок дітей</t>
    </r>
    <r>
      <rPr>
        <sz val="12"/>
        <color indexed="8"/>
        <rFont val="Times New Roman"/>
        <family val="1"/>
        <charset val="204"/>
      </rPr>
      <t xml:space="preserve"> КПКВ 0116030 КЕКВ 2240, а саме зменшення фінансування </t>
    </r>
    <r>
      <rPr>
        <sz val="12"/>
        <color indexed="8"/>
        <rFont val="Times New Roman"/>
        <family val="1"/>
        <charset val="204"/>
      </rPr>
      <t xml:space="preserve"> КЕКВ 2730, в зв'язку із економією коштів</t>
    </r>
  </si>
  <si>
    <r>
      <t xml:space="preserve">Перерозподіл бюджетних призначень в межах виділених річних асигнувань в сумі 60000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 xml:space="preserve">електроенергії,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</si>
  <si>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t xml:space="preserve">від 10 серпня 2021 року № 397           </t>
  </si>
  <si>
    <t>Секретар міської ради                                                                                                            Л. Вишневецька</t>
  </si>
  <si>
    <t xml:space="preserve">Додаток  8    
              до рішення Новоукраїнської міської ради  від 10 серпня  2021 року № 397     </t>
  </si>
  <si>
    <t xml:space="preserve">          Секретар міської ради                                                                                                                                                                                                                        Л. Вишневецька        </t>
  </si>
  <si>
    <t>Субвенція обласному бюджету Кіровоградської області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 на умовах співфінансування в розмірі 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</si>
</sst>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7"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sz val="14"/>
      <name val="Times New Roman Cyr"/>
      <charset val="204"/>
    </font>
    <font>
      <u/>
      <sz val="12"/>
      <name val="Times New Roman"/>
      <family val="1"/>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968">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166" fontId="51" fillId="0" borderId="0" xfId="2" applyNumberFormat="1" applyFont="1" applyBorder="1" applyAlignment="1">
      <alignment vertical="center" wrapText="1"/>
    </xf>
    <xf numFmtId="49" fontId="59" fillId="0" borderId="0" xfId="2" applyNumberFormat="1" applyFont="1" applyBorder="1" applyAlignment="1">
      <alignment horizontal="center" vertical="center"/>
    </xf>
    <xf numFmtId="0" fontId="59" fillId="0" borderId="0" xfId="2" applyFont="1" applyBorder="1" applyAlignment="1">
      <alignment horizontal="left" vertical="center" wrapText="1"/>
    </xf>
    <xf numFmtId="0" fontId="60" fillId="0" borderId="0" xfId="2" applyFont="1" applyBorder="1" applyAlignment="1">
      <alignment horizontal="center" vertical="center" wrapText="1"/>
    </xf>
    <xf numFmtId="168" fontId="59" fillId="0" borderId="0" xfId="2" applyNumberFormat="1" applyFont="1" applyBorder="1" applyAlignment="1">
      <alignment vertical="center"/>
    </xf>
    <xf numFmtId="0" fontId="59" fillId="0" borderId="0" xfId="2" applyFont="1" applyAlignment="1">
      <alignment vertical="center"/>
    </xf>
    <xf numFmtId="0" fontId="61"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2"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4" fillId="0" borderId="0" xfId="56" applyNumberFormat="1" applyFont="1" applyFill="1" applyBorder="1" applyAlignment="1" applyProtection="1">
      <alignment horizontal="left" vertical="top" wrapText="1"/>
    </xf>
    <xf numFmtId="0" fontId="63"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3" fillId="0" borderId="0" xfId="56" applyNumberFormat="1" applyFont="1" applyFill="1" applyBorder="1" applyAlignment="1" applyProtection="1">
      <alignment horizontal="center" vertical="top"/>
    </xf>
    <xf numFmtId="0" fontId="65" fillId="0" borderId="0" xfId="56" applyNumberFormat="1" applyFont="1" applyFill="1" applyAlignment="1" applyProtection="1">
      <alignment horizontal="center"/>
    </xf>
    <xf numFmtId="0" fontId="62"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70"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2" fillId="0" borderId="16" xfId="56" applyNumberFormat="1" applyFont="1" applyFill="1" applyBorder="1" applyAlignment="1">
      <alignment horizontal="center" vertical="center" wrapText="1"/>
    </xf>
    <xf numFmtId="49" fontId="72" fillId="0" borderId="17" xfId="56" applyNumberFormat="1" applyFont="1" applyFill="1" applyBorder="1" applyAlignment="1">
      <alignment horizontal="center" vertical="center" wrapText="1"/>
    </xf>
    <xf numFmtId="1" fontId="73" fillId="0" borderId="17" xfId="49" applyNumberFormat="1" applyFont="1" applyFill="1" applyBorder="1" applyAlignment="1">
      <alignment vertical="center"/>
    </xf>
    <xf numFmtId="1" fontId="72" fillId="0" borderId="17" xfId="49" applyNumberFormat="1" applyFont="1" applyFill="1" applyBorder="1" applyAlignment="1">
      <alignment vertical="center"/>
    </xf>
    <xf numFmtId="0" fontId="19" fillId="2" borderId="0" xfId="56" applyFont="1" applyFill="1" applyAlignment="1">
      <alignment vertical="center"/>
    </xf>
    <xf numFmtId="49" fontId="64" fillId="2" borderId="19" xfId="56" applyNumberFormat="1" applyFont="1" applyFill="1" applyBorder="1" applyAlignment="1">
      <alignment horizontal="center" vertical="center" wrapText="1"/>
    </xf>
    <xf numFmtId="49" fontId="64"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0" fontId="19" fillId="2" borderId="0" xfId="56" applyNumberFormat="1" applyFont="1" applyFill="1" applyAlignment="1" applyProtection="1"/>
    <xf numFmtId="49" fontId="64" fillId="2" borderId="5" xfId="56" applyNumberFormat="1" applyFont="1" applyFill="1" applyBorder="1" applyAlignment="1">
      <alignment horizontal="center" vertical="center" wrapText="1"/>
    </xf>
    <xf numFmtId="49" fontId="64"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4"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5" fillId="2" borderId="1" xfId="49" applyNumberFormat="1" applyFont="1" applyFill="1" applyBorder="1" applyAlignment="1">
      <alignment horizontal="center" vertical="center"/>
    </xf>
    <xf numFmtId="49" fontId="15" fillId="3" borderId="1" xfId="56" applyNumberFormat="1" applyFont="1" applyFill="1" applyBorder="1" applyAlignment="1">
      <alignment horizontal="center" vertical="center" wrapText="1"/>
    </xf>
    <xf numFmtId="1" fontId="7" fillId="3" borderId="1" xfId="49" applyNumberFormat="1" applyFont="1" applyFill="1" applyBorder="1" applyAlignment="1">
      <alignment horizontal="center" vertical="center"/>
    </xf>
    <xf numFmtId="49" fontId="64"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1" fontId="64" fillId="2" borderId="1" xfId="49" applyNumberFormat="1" applyFont="1" applyFill="1" applyBorder="1" applyAlignment="1">
      <alignment horizontal="center" vertical="center"/>
    </xf>
    <xf numFmtId="1" fontId="64"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4"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4" fillId="2" borderId="1" xfId="2" applyNumberFormat="1" applyFont="1" applyFill="1" applyBorder="1" applyAlignment="1">
      <alignment horizontal="center" vertical="center" wrapText="1"/>
    </xf>
    <xf numFmtId="1" fontId="76" fillId="2" borderId="1" xfId="1" applyNumberFormat="1" applyFont="1" applyFill="1" applyBorder="1" applyAlignment="1">
      <alignment horizontal="center" vertical="center"/>
    </xf>
    <xf numFmtId="49" fontId="75" fillId="2" borderId="5" xfId="56" applyNumberFormat="1" applyFont="1" applyFill="1" applyBorder="1" applyAlignment="1">
      <alignment horizontal="center" vertical="center" wrapText="1"/>
    </xf>
    <xf numFmtId="49" fontId="75"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7" fillId="2" borderId="1" xfId="1" applyFont="1" applyFill="1" applyBorder="1" applyAlignment="1">
      <alignment horizontal="center" vertical="center"/>
    </xf>
    <xf numFmtId="0" fontId="76"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6" fillId="0" borderId="1" xfId="1" applyFont="1" applyFill="1" applyBorder="1" applyAlignment="1">
      <alignment horizontal="center" vertical="center"/>
    </xf>
    <xf numFmtId="1" fontId="75"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5" fillId="2" borderId="12" xfId="49" applyNumberFormat="1" applyFont="1" applyFill="1" applyBorder="1" applyAlignment="1">
      <alignment horizontal="center" vertical="center"/>
    </xf>
    <xf numFmtId="49" fontId="64" fillId="2" borderId="22" xfId="2" applyNumberFormat="1" applyFont="1" applyFill="1" applyBorder="1" applyAlignment="1">
      <alignment horizontal="center" vertical="center" wrapText="1"/>
    </xf>
    <xf numFmtId="49" fontId="64" fillId="2" borderId="12" xfId="2" applyNumberFormat="1" applyFont="1" applyFill="1" applyBorder="1" applyAlignment="1">
      <alignment horizontal="center" vertical="center" wrapText="1"/>
    </xf>
    <xf numFmtId="1" fontId="74"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2"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2" fillId="0" borderId="0" xfId="56" applyNumberFormat="1" applyFont="1" applyFill="1" applyAlignment="1" applyProtection="1"/>
    <xf numFmtId="0" fontId="62"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48" fillId="0" borderId="0" xfId="2" applyFont="1" applyFill="1" applyAlignment="1">
      <alignment vertical="center"/>
    </xf>
    <xf numFmtId="49" fontId="80"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2" fillId="0" borderId="0" xfId="2" applyNumberFormat="1" applyFont="1" applyFill="1" applyAlignment="1">
      <alignment vertical="center"/>
    </xf>
    <xf numFmtId="0" fontId="81" fillId="0" borderId="0" xfId="1" applyFont="1" applyAlignment="1">
      <alignment horizontal="center"/>
    </xf>
    <xf numFmtId="0" fontId="81"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3"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5"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5" fillId="0" borderId="53"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wrapText="1"/>
    </xf>
    <xf numFmtId="4" fontId="85" fillId="0" borderId="44" xfId="2" applyNumberFormat="1" applyFont="1" applyFill="1" applyBorder="1" applyAlignment="1">
      <alignment horizontal="center" vertical="center"/>
    </xf>
    <xf numFmtId="165" fontId="85" fillId="0" borderId="44" xfId="2" applyNumberFormat="1" applyFont="1" applyFill="1" applyBorder="1" applyAlignment="1">
      <alignment horizontal="center" vertical="center"/>
    </xf>
    <xf numFmtId="49" fontId="85" fillId="0" borderId="47" xfId="2" applyNumberFormat="1" applyFont="1" applyFill="1" applyBorder="1" applyAlignment="1">
      <alignment horizontal="center" vertical="top"/>
    </xf>
    <xf numFmtId="0" fontId="85" fillId="0" borderId="49" xfId="2" applyFont="1" applyFill="1" applyBorder="1" applyAlignment="1">
      <alignment vertical="top" wrapText="1"/>
    </xf>
    <xf numFmtId="167" fontId="85" fillId="0" borderId="47" xfId="2" applyNumberFormat="1" applyFont="1" applyFill="1" applyBorder="1" applyAlignment="1">
      <alignment vertical="top" wrapText="1"/>
    </xf>
    <xf numFmtId="165" fontId="85" fillId="0" borderId="47" xfId="2" applyNumberFormat="1" applyFont="1" applyFill="1" applyBorder="1" applyAlignment="1">
      <alignment horizontal="right" vertical="top"/>
    </xf>
    <xf numFmtId="2" fontId="85" fillId="0" borderId="47"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wrapText="1"/>
    </xf>
    <xf numFmtId="4" fontId="85" fillId="0" borderId="47" xfId="2" applyNumberFormat="1" applyFont="1" applyFill="1" applyBorder="1" applyAlignment="1">
      <alignment horizontal="center" vertical="center"/>
    </xf>
    <xf numFmtId="165" fontId="85" fillId="0" borderId="47" xfId="2" applyNumberFormat="1" applyFont="1" applyFill="1" applyBorder="1" applyAlignment="1">
      <alignment horizontal="center" vertical="center"/>
    </xf>
    <xf numFmtId="49" fontId="85" fillId="0" borderId="64" xfId="2" applyNumberFormat="1" applyFont="1" applyFill="1" applyBorder="1" applyAlignment="1">
      <alignment horizontal="center" vertical="top"/>
    </xf>
    <xf numFmtId="0" fontId="85" fillId="0" borderId="65" xfId="2" applyFont="1" applyFill="1" applyBorder="1" applyAlignment="1">
      <alignment vertical="top" wrapText="1"/>
    </xf>
    <xf numFmtId="167" fontId="85" fillId="0" borderId="64" xfId="2" applyNumberFormat="1" applyFont="1" applyFill="1" applyBorder="1" applyAlignment="1">
      <alignment vertical="top" wrapText="1"/>
    </xf>
    <xf numFmtId="165" fontId="85" fillId="0" borderId="65" xfId="2" applyNumberFormat="1" applyFont="1" applyFill="1" applyBorder="1" applyAlignment="1">
      <alignment horizontal="right" vertical="top"/>
    </xf>
    <xf numFmtId="2" fontId="85" fillId="0" borderId="64" xfId="2" applyNumberFormat="1" applyFont="1" applyFill="1" applyBorder="1" applyAlignment="1">
      <alignment horizontal="center" vertical="center"/>
    </xf>
    <xf numFmtId="2" fontId="85" fillId="0" borderId="66" xfId="2" applyNumberFormat="1" applyFont="1" applyFill="1" applyBorder="1" applyAlignment="1">
      <alignment horizontal="center" vertical="center"/>
    </xf>
    <xf numFmtId="165" fontId="85" fillId="0" borderId="64" xfId="2" applyNumberFormat="1" applyFont="1" applyFill="1" applyBorder="1" applyAlignment="1">
      <alignment horizontal="right" vertical="top"/>
    </xf>
    <xf numFmtId="4" fontId="85" fillId="0" borderId="64" xfId="2" applyNumberFormat="1" applyFont="1" applyFill="1" applyBorder="1" applyAlignment="1">
      <alignment horizontal="center" vertical="center"/>
    </xf>
    <xf numFmtId="165" fontId="85" fillId="0" borderId="64" xfId="2" applyNumberFormat="1" applyFont="1" applyFill="1" applyBorder="1" applyAlignment="1">
      <alignment horizontal="center" vertical="center"/>
    </xf>
    <xf numFmtId="49" fontId="85" fillId="0" borderId="49" xfId="2" applyNumberFormat="1" applyFont="1" applyFill="1" applyBorder="1" applyAlignment="1">
      <alignment horizontal="center" vertical="center"/>
    </xf>
    <xf numFmtId="166" fontId="85" fillId="0" borderId="47" xfId="2" applyNumberFormat="1" applyFont="1" applyFill="1" applyBorder="1" applyAlignment="1">
      <alignment horizontal="center" vertical="center"/>
    </xf>
    <xf numFmtId="165" fontId="85" fillId="0" borderId="49" xfId="2" applyNumberFormat="1" applyFont="1" applyFill="1" applyBorder="1" applyAlignment="1">
      <alignment horizontal="right" vertical="top"/>
    </xf>
    <xf numFmtId="166" fontId="85" fillId="0" borderId="47" xfId="2" applyNumberFormat="1" applyFont="1" applyFill="1" applyBorder="1" applyAlignment="1">
      <alignment horizontal="right" vertical="top"/>
    </xf>
    <xf numFmtId="49" fontId="85" fillId="0" borderId="1" xfId="2" applyNumberFormat="1" applyFont="1" applyFill="1" applyBorder="1" applyAlignment="1">
      <alignment horizontal="center" vertical="center"/>
    </xf>
    <xf numFmtId="2" fontId="85" fillId="0" borderId="1"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center" wrapText="1"/>
    </xf>
    <xf numFmtId="165" fontId="85" fillId="0" borderId="1" xfId="2" applyNumberFormat="1" applyFont="1" applyFill="1" applyBorder="1" applyAlignment="1">
      <alignment horizontal="center" vertical="center"/>
    </xf>
    <xf numFmtId="166" fontId="85" fillId="0" borderId="6" xfId="2" applyNumberFormat="1" applyFont="1" applyFill="1" applyBorder="1" applyAlignment="1">
      <alignment horizontal="center" vertical="center"/>
    </xf>
    <xf numFmtId="166" fontId="85"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5" fillId="0" borderId="65" xfId="2" applyNumberFormat="1" applyFont="1" applyFill="1" applyBorder="1" applyAlignment="1">
      <alignment horizontal="right" vertical="top"/>
    </xf>
    <xf numFmtId="4" fontId="85" fillId="0" borderId="50" xfId="2" applyNumberFormat="1" applyFont="1" applyFill="1" applyBorder="1" applyAlignment="1">
      <alignment horizontal="center" vertical="center" wrapText="1"/>
    </xf>
    <xf numFmtId="165" fontId="85" fillId="0" borderId="50" xfId="2" applyNumberFormat="1" applyFont="1" applyFill="1" applyBorder="1" applyAlignment="1">
      <alignment horizontal="center" vertical="center" wrapText="1"/>
    </xf>
    <xf numFmtId="165" fontId="88" fillId="0" borderId="47" xfId="2" applyNumberFormat="1" applyFont="1" applyFill="1" applyBorder="1" applyAlignment="1">
      <alignment horizontal="center" vertical="center"/>
    </xf>
    <xf numFmtId="167" fontId="85" fillId="0" borderId="49" xfId="2" applyNumberFormat="1" applyFont="1" applyFill="1" applyBorder="1" applyAlignment="1">
      <alignment vertical="top" wrapText="1"/>
    </xf>
    <xf numFmtId="49" fontId="91" fillId="0" borderId="47" xfId="2" applyNumberFormat="1" applyFont="1" applyFill="1" applyBorder="1" applyAlignment="1">
      <alignment horizontal="center" vertical="top"/>
    </xf>
    <xf numFmtId="166" fontId="91" fillId="0" borderId="49" xfId="2" applyNumberFormat="1" applyFont="1" applyFill="1" applyBorder="1" applyAlignment="1">
      <alignment horizontal="right" vertical="top"/>
    </xf>
    <xf numFmtId="2" fontId="91" fillId="0" borderId="47"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xf>
    <xf numFmtId="4" fontId="91" fillId="0" borderId="47" xfId="2" applyNumberFormat="1" applyFont="1" applyFill="1" applyBorder="1" applyAlignment="1">
      <alignment horizontal="center" vertical="center"/>
    </xf>
    <xf numFmtId="165" fontId="91" fillId="0" borderId="50" xfId="2" applyNumberFormat="1" applyFont="1" applyFill="1" applyBorder="1" applyAlignment="1">
      <alignment horizontal="center" vertical="center"/>
    </xf>
    <xf numFmtId="165" fontId="85" fillId="0" borderId="50" xfId="2" applyNumberFormat="1" applyFont="1" applyFill="1" applyBorder="1" applyAlignment="1">
      <alignment horizontal="center" vertical="center"/>
    </xf>
    <xf numFmtId="165" fontId="85" fillId="0" borderId="46" xfId="2" applyNumberFormat="1" applyFont="1" applyFill="1" applyBorder="1" applyAlignment="1">
      <alignment horizontal="center" vertical="center"/>
    </xf>
    <xf numFmtId="49" fontId="91" fillId="0" borderId="64" xfId="2" applyNumberFormat="1" applyFont="1" applyFill="1" applyBorder="1" applyAlignment="1">
      <alignment horizontal="center" vertical="top"/>
    </xf>
    <xf numFmtId="167" fontId="91" fillId="0" borderId="65" xfId="2" applyNumberFormat="1" applyFont="1" applyFill="1" applyBorder="1" applyAlignment="1">
      <alignment vertical="top" wrapText="1"/>
    </xf>
    <xf numFmtId="167" fontId="91" fillId="0" borderId="49" xfId="2" applyNumberFormat="1" applyFont="1" applyFill="1" applyBorder="1" applyAlignment="1">
      <alignment vertical="top" wrapText="1"/>
    </xf>
    <xf numFmtId="165" fontId="85" fillId="0" borderId="66" xfId="2" applyNumberFormat="1" applyFont="1" applyFill="1" applyBorder="1" applyAlignment="1">
      <alignment horizontal="center" vertical="center"/>
    </xf>
    <xf numFmtId="167" fontId="85" fillId="0" borderId="65" xfId="2" applyNumberFormat="1" applyFont="1" applyFill="1" applyBorder="1" applyAlignment="1">
      <alignment vertical="top" wrapText="1"/>
    </xf>
    <xf numFmtId="166" fontId="85" fillId="0" borderId="64" xfId="2" applyNumberFormat="1" applyFont="1" applyFill="1" applyBorder="1" applyAlignment="1">
      <alignment horizontal="right" vertical="top"/>
    </xf>
    <xf numFmtId="0" fontId="91" fillId="0" borderId="48" xfId="2" applyFont="1" applyFill="1" applyBorder="1" applyAlignment="1">
      <alignment vertical="top" wrapText="1"/>
    </xf>
    <xf numFmtId="166" fontId="91" fillId="0" borderId="64" xfId="2" applyNumberFormat="1" applyFont="1" applyFill="1" applyBorder="1" applyAlignment="1">
      <alignment horizontal="right" vertical="top"/>
    </xf>
    <xf numFmtId="2" fontId="91" fillId="0" borderId="64" xfId="2" applyNumberFormat="1" applyFont="1" applyFill="1" applyBorder="1" applyAlignment="1">
      <alignment horizontal="center" vertical="center"/>
    </xf>
    <xf numFmtId="165" fontId="91" fillId="0" borderId="47" xfId="2" applyNumberFormat="1" applyFont="1" applyFill="1" applyBorder="1" applyAlignment="1">
      <alignment horizontal="center" vertical="center"/>
    </xf>
    <xf numFmtId="165" fontId="91"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1" fillId="0" borderId="65" xfId="2" applyFont="1" applyFill="1" applyBorder="1" applyAlignment="1">
      <alignment vertical="top" wrapText="1"/>
    </xf>
    <xf numFmtId="167" fontId="91" fillId="0" borderId="64" xfId="2" applyNumberFormat="1" applyFont="1" applyFill="1" applyBorder="1" applyAlignment="1">
      <alignment vertical="top" wrapText="1"/>
    </xf>
    <xf numFmtId="166" fontId="91" fillId="0" borderId="65" xfId="2" applyNumberFormat="1" applyFont="1" applyFill="1" applyBorder="1" applyAlignment="1">
      <alignment horizontal="right" vertical="top"/>
    </xf>
    <xf numFmtId="2" fontId="91" fillId="0" borderId="66"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wrapText="1"/>
    </xf>
    <xf numFmtId="167" fontId="91" fillId="0" borderId="47" xfId="2" applyNumberFormat="1" applyFont="1" applyFill="1" applyBorder="1" applyAlignment="1">
      <alignment vertical="top" wrapText="1"/>
    </xf>
    <xf numFmtId="166" fontId="91"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5"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5" fillId="0" borderId="45" xfId="2" applyNumberFormat="1" applyFont="1" applyFill="1" applyBorder="1" applyAlignment="1">
      <alignment horizontal="right" vertical="top"/>
    </xf>
    <xf numFmtId="2" fontId="85" fillId="0" borderId="44"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5" fillId="0" borderId="47" xfId="2" applyNumberFormat="1" applyFont="1" applyFill="1" applyBorder="1" applyAlignment="1">
      <alignment horizontal="center" vertical="center"/>
    </xf>
    <xf numFmtId="0" fontId="82" fillId="0" borderId="0" xfId="2" applyFont="1" applyFill="1" applyAlignment="1">
      <alignment vertical="center"/>
    </xf>
    <xf numFmtId="49" fontId="92" fillId="0" borderId="47" xfId="2" applyNumberFormat="1" applyFont="1" applyFill="1" applyBorder="1" applyAlignment="1">
      <alignment horizontal="center" vertical="top"/>
    </xf>
    <xf numFmtId="167" fontId="92" fillId="0" borderId="49" xfId="2" applyNumberFormat="1" applyFont="1" applyFill="1" applyBorder="1" applyAlignment="1">
      <alignment vertical="top" wrapText="1"/>
    </xf>
    <xf numFmtId="167" fontId="92" fillId="0" borderId="47" xfId="2" applyNumberFormat="1" applyFont="1" applyFill="1" applyBorder="1" applyAlignment="1">
      <alignment vertical="top" wrapText="1"/>
    </xf>
    <xf numFmtId="168" fontId="85"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3" fillId="2" borderId="5" xfId="2" applyNumberFormat="1" applyFont="1" applyFill="1" applyBorder="1" applyAlignment="1">
      <alignment horizontal="center" vertical="center" wrapText="1"/>
    </xf>
    <xf numFmtId="49" fontId="93" fillId="2" borderId="1" xfId="56" applyNumberFormat="1" applyFont="1" applyFill="1" applyBorder="1" applyAlignment="1">
      <alignment horizontal="center" vertical="center" wrapText="1"/>
    </xf>
    <xf numFmtId="49" fontId="85"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5" fillId="0" borderId="66" xfId="2" applyNumberFormat="1" applyFont="1" applyFill="1" applyBorder="1" applyAlignment="1">
      <alignment horizontal="center" vertical="center" wrapText="1"/>
    </xf>
    <xf numFmtId="168" fontId="85"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3"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2" fillId="2" borderId="3" xfId="56" applyFont="1" applyFill="1" applyBorder="1" applyAlignment="1">
      <alignment horizontal="center" vertical="center" wrapText="1"/>
    </xf>
    <xf numFmtId="49" fontId="85" fillId="0" borderId="61" xfId="2" applyNumberFormat="1" applyFont="1" applyFill="1" applyBorder="1" applyAlignment="1">
      <alignment horizontal="center" vertical="top"/>
    </xf>
    <xf numFmtId="2" fontId="85" fillId="0" borderId="31" xfId="2" applyNumberFormat="1" applyFont="1" applyFill="1" applyBorder="1" applyAlignment="1">
      <alignment horizontal="center" vertical="center"/>
    </xf>
    <xf numFmtId="2" fontId="85"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5" fillId="0" borderId="31" xfId="2" applyNumberFormat="1" applyFont="1" applyFill="1" applyBorder="1" applyAlignment="1">
      <alignment horizontal="center" vertical="center"/>
    </xf>
    <xf numFmtId="168" fontId="85"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3"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2" fillId="2" borderId="8" xfId="56" applyFont="1" applyFill="1" applyBorder="1" applyAlignment="1">
      <alignment horizontal="center" vertical="center" wrapText="1"/>
    </xf>
    <xf numFmtId="49" fontId="85" fillId="0" borderId="67" xfId="2" applyNumberFormat="1" applyFont="1" applyFill="1" applyBorder="1" applyAlignment="1">
      <alignment horizontal="center" vertical="top"/>
    </xf>
    <xf numFmtId="2" fontId="85" fillId="0" borderId="35" xfId="2" applyNumberFormat="1" applyFont="1" applyFill="1" applyBorder="1" applyAlignment="1">
      <alignment horizontal="center" vertical="center"/>
    </xf>
    <xf numFmtId="2" fontId="85"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5" fillId="0" borderId="35" xfId="2" applyNumberFormat="1" applyFont="1" applyFill="1" applyBorder="1" applyAlignment="1">
      <alignment horizontal="center" vertical="center"/>
    </xf>
    <xf numFmtId="168" fontId="85" fillId="0" borderId="35" xfId="2" applyNumberFormat="1" applyFont="1" applyFill="1" applyBorder="1" applyAlignment="1">
      <alignment horizontal="center" vertical="center"/>
    </xf>
    <xf numFmtId="166" fontId="85" fillId="0" borderId="44" xfId="2" applyNumberFormat="1" applyFont="1" applyFill="1" applyBorder="1" applyAlignment="1">
      <alignment horizontal="right" vertical="top"/>
    </xf>
    <xf numFmtId="168" fontId="85" fillId="0" borderId="44" xfId="2" applyNumberFormat="1" applyFont="1" applyFill="1" applyBorder="1" applyAlignment="1">
      <alignment horizontal="center" vertical="center"/>
    </xf>
    <xf numFmtId="0" fontId="93" fillId="2" borderId="1" xfId="2" applyFont="1" applyFill="1" applyBorder="1" applyAlignment="1">
      <alignment horizontal="left" vertical="center" wrapText="1"/>
    </xf>
    <xf numFmtId="166" fontId="85" fillId="0" borderId="47" xfId="2" applyNumberFormat="1" applyFont="1" applyFill="1" applyBorder="1" applyAlignment="1">
      <alignment horizontal="right" vertical="center"/>
    </xf>
    <xf numFmtId="2" fontId="85" fillId="2" borderId="47" xfId="2" applyNumberFormat="1" applyFont="1" applyFill="1" applyBorder="1" applyAlignment="1">
      <alignment horizontal="center" vertical="center"/>
    </xf>
    <xf numFmtId="2" fontId="85"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5" fillId="0" borderId="47" xfId="2" applyNumberFormat="1" applyFont="1" applyFill="1" applyBorder="1" applyAlignment="1">
      <alignment horizontal="right" vertical="top"/>
    </xf>
    <xf numFmtId="2" fontId="85" fillId="0" borderId="50" xfId="2" applyNumberFormat="1" applyFont="1" applyFill="1" applyBorder="1" applyAlignment="1">
      <alignment horizontal="right" vertical="top"/>
    </xf>
    <xf numFmtId="2" fontId="85" fillId="0" borderId="50" xfId="2" applyNumberFormat="1" applyFont="1" applyFill="1" applyBorder="1" applyAlignment="1">
      <alignment horizontal="right" vertical="top" wrapText="1"/>
    </xf>
    <xf numFmtId="168" fontId="85" fillId="0" borderId="47" xfId="2" applyNumberFormat="1" applyFont="1" applyFill="1" applyBorder="1" applyAlignment="1">
      <alignment horizontal="right" vertical="top"/>
    </xf>
    <xf numFmtId="2" fontId="91" fillId="0" borderId="47" xfId="2" applyNumberFormat="1" applyFont="1" applyFill="1" applyBorder="1" applyAlignment="1">
      <alignment horizontal="right" vertical="top"/>
    </xf>
    <xf numFmtId="165" fontId="91" fillId="0" borderId="47" xfId="2" applyNumberFormat="1" applyFont="1" applyFill="1" applyBorder="1" applyAlignment="1">
      <alignment horizontal="right" vertical="top"/>
    </xf>
    <xf numFmtId="168" fontId="91" fillId="0" borderId="47" xfId="2" applyNumberFormat="1" applyFont="1" applyFill="1" applyBorder="1" applyAlignment="1">
      <alignment horizontal="right" vertical="top"/>
    </xf>
    <xf numFmtId="165" fontId="91" fillId="0" borderId="49" xfId="2" applyNumberFormat="1" applyFont="1" applyFill="1" applyBorder="1" applyAlignment="1">
      <alignment horizontal="right" vertical="top"/>
    </xf>
    <xf numFmtId="2" fontId="91" fillId="0" borderId="50" xfId="2" applyNumberFormat="1" applyFont="1" applyFill="1" applyBorder="1" applyAlignment="1">
      <alignment horizontal="right" vertical="top"/>
    </xf>
    <xf numFmtId="165" fontId="91" fillId="0" borderId="50" xfId="2" applyNumberFormat="1" applyFont="1" applyFill="1" applyBorder="1" applyAlignment="1">
      <alignment horizontal="right" vertical="top"/>
    </xf>
    <xf numFmtId="168" fontId="91" fillId="0" borderId="50" xfId="2" applyNumberFormat="1" applyFont="1" applyFill="1" applyBorder="1" applyAlignment="1">
      <alignment horizontal="right" vertical="top"/>
    </xf>
    <xf numFmtId="165" fontId="85" fillId="0" borderId="50" xfId="2" applyNumberFormat="1" applyFont="1" applyFill="1" applyBorder="1" applyAlignment="1">
      <alignment horizontal="right" vertical="top"/>
    </xf>
    <xf numFmtId="168" fontId="85" fillId="0" borderId="50" xfId="2" applyNumberFormat="1" applyFont="1" applyFill="1" applyBorder="1" applyAlignment="1">
      <alignment horizontal="right" vertical="top"/>
    </xf>
    <xf numFmtId="2" fontId="85" fillId="0" borderId="64" xfId="2" applyNumberFormat="1" applyFont="1" applyFill="1" applyBorder="1" applyAlignment="1">
      <alignment horizontal="right" vertical="top"/>
    </xf>
    <xf numFmtId="2" fontId="85" fillId="0" borderId="66" xfId="2" applyNumberFormat="1" applyFont="1" applyFill="1" applyBorder="1" applyAlignment="1">
      <alignment horizontal="right" vertical="top"/>
    </xf>
    <xf numFmtId="165" fontId="85" fillId="0" borderId="66" xfId="2" applyNumberFormat="1" applyFont="1" applyFill="1" applyBorder="1" applyAlignment="1">
      <alignment horizontal="right" vertical="top"/>
    </xf>
    <xf numFmtId="168" fontId="85"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5"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6" fillId="0" borderId="38" xfId="2" applyNumberFormat="1" applyFont="1" applyFill="1" applyBorder="1" applyAlignment="1" applyProtection="1">
      <alignment horizontal="center" vertical="top"/>
      <protection locked="0"/>
    </xf>
    <xf numFmtId="166" fontId="96" fillId="0" borderId="38" xfId="2" applyNumberFormat="1" applyFont="1" applyFill="1" applyBorder="1" applyAlignment="1" applyProtection="1">
      <alignment horizontal="right" vertical="top"/>
      <protection locked="0"/>
    </xf>
    <xf numFmtId="169" fontId="96" fillId="0" borderId="38" xfId="2" applyNumberFormat="1" applyFont="1" applyFill="1" applyBorder="1" applyAlignment="1" applyProtection="1">
      <alignment horizontal="right" vertical="top"/>
      <protection locked="0"/>
    </xf>
    <xf numFmtId="165" fontId="96" fillId="0" borderId="38" xfId="2" applyNumberFormat="1" applyFont="1" applyFill="1" applyBorder="1" applyAlignment="1" applyProtection="1">
      <alignment horizontal="right" vertical="top"/>
      <protection locked="0"/>
    </xf>
    <xf numFmtId="4" fontId="96"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7"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80"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6" fillId="0" borderId="0" xfId="2" applyFont="1" applyAlignment="1">
      <alignment vertical="center" wrapText="1"/>
    </xf>
    <xf numFmtId="4" fontId="64"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6" fillId="0" borderId="0" xfId="2" applyFont="1" applyAlignment="1">
      <alignment horizontal="center" vertical="center" wrapText="1"/>
    </xf>
    <xf numFmtId="0" fontId="7" fillId="2" borderId="19" xfId="2" applyFont="1" applyFill="1" applyBorder="1" applyAlignment="1">
      <alignment horizontal="left"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8"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8"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4" fillId="2" borderId="63" xfId="2" applyNumberFormat="1" applyFont="1" applyFill="1" applyBorder="1" applyAlignment="1">
      <alignment horizontal="center" vertical="center" wrapText="1"/>
    </xf>
    <xf numFmtId="4" fontId="64"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4" fillId="0" borderId="63" xfId="2" applyNumberFormat="1" applyFont="1" applyFill="1" applyBorder="1" applyAlignment="1">
      <alignment horizontal="center" vertical="center" wrapText="1"/>
    </xf>
    <xf numFmtId="4" fontId="64" fillId="0" borderId="17" xfId="2" applyNumberFormat="1" applyFont="1" applyFill="1" applyBorder="1" applyAlignment="1">
      <alignment horizontal="center" vertical="center" wrapText="1"/>
    </xf>
    <xf numFmtId="4" fontId="64" fillId="0" borderId="18" xfId="2" applyNumberFormat="1" applyFont="1" applyFill="1" applyBorder="1" applyAlignment="1">
      <alignment horizontal="center" vertical="center" wrapText="1"/>
    </xf>
    <xf numFmtId="4" fontId="66" fillId="0" borderId="0" xfId="2" applyNumberFormat="1" applyFont="1" applyAlignment="1">
      <alignment vertical="center" wrapText="1"/>
    </xf>
    <xf numFmtId="4" fontId="64"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6" fillId="0" borderId="0" xfId="2" applyNumberFormat="1" applyFont="1" applyAlignment="1">
      <alignment horizontal="center" vertical="center" wrapText="1"/>
    </xf>
    <xf numFmtId="4" fontId="66" fillId="0" borderId="0" xfId="2" applyNumberFormat="1" applyFont="1" applyAlignment="1">
      <alignment horizontal="right" vertical="center" wrapText="1"/>
    </xf>
    <xf numFmtId="4" fontId="7" fillId="20" borderId="1" xfId="2" applyNumberFormat="1" applyFont="1" applyFill="1" applyBorder="1" applyAlignment="1">
      <alignment horizontal="center" vertical="center" wrapText="1"/>
    </xf>
    <xf numFmtId="0" fontId="7" fillId="20" borderId="6" xfId="2" applyFont="1" applyFill="1" applyBorder="1" applyAlignment="1">
      <alignment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 fontId="7" fillId="20" borderId="56" xfId="2" applyNumberFormat="1" applyFont="1" applyFill="1" applyBorder="1" applyAlignment="1">
      <alignment horizontal="center" vertical="center" wrapText="1"/>
    </xf>
    <xf numFmtId="0" fontId="15" fillId="20"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3" fontId="61" fillId="0" borderId="32" xfId="2" applyNumberFormat="1" applyFont="1" applyFill="1" applyBorder="1" applyAlignment="1">
      <alignment horizontal="center" vertical="center" wrapText="1"/>
    </xf>
    <xf numFmtId="3" fontId="61" fillId="0" borderId="59" xfId="2" applyNumberFormat="1" applyFont="1" applyFill="1" applyBorder="1" applyAlignment="1">
      <alignment horizontal="center" vertical="center" wrapText="1"/>
    </xf>
    <xf numFmtId="3" fontId="61" fillId="0" borderId="33"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top"/>
    </xf>
    <xf numFmtId="0" fontId="85" fillId="0" borderId="1" xfId="2" applyFont="1" applyFill="1" applyBorder="1" applyAlignment="1">
      <alignment vertical="top" wrapText="1"/>
    </xf>
    <xf numFmtId="167" fontId="85" fillId="0" borderId="1" xfId="2" applyNumberFormat="1" applyFont="1" applyFill="1" applyBorder="1" applyAlignment="1">
      <alignment vertical="top" wrapText="1"/>
    </xf>
    <xf numFmtId="165" fontId="85" fillId="0" borderId="1" xfId="2" applyNumberFormat="1" applyFont="1" applyFill="1" applyBorder="1" applyAlignment="1">
      <alignment horizontal="right" vertical="top"/>
    </xf>
    <xf numFmtId="2" fontId="85" fillId="0" borderId="1" xfId="2" applyNumberFormat="1" applyFont="1" applyFill="1" applyBorder="1" applyAlignment="1">
      <alignment horizontal="center" vertical="center"/>
    </xf>
    <xf numFmtId="4"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right" vertical="top"/>
    </xf>
    <xf numFmtId="167" fontId="85" fillId="0" borderId="1" xfId="2" applyNumberFormat="1" applyFont="1" applyFill="1" applyBorder="1" applyAlignment="1">
      <alignment horizontal="left" vertical="center" wrapText="1"/>
    </xf>
    <xf numFmtId="49" fontId="85" fillId="0" borderId="20" xfId="2" applyNumberFormat="1" applyFont="1" applyFill="1" applyBorder="1" applyAlignment="1">
      <alignment horizontal="center" vertical="top"/>
    </xf>
    <xf numFmtId="0" fontId="85" fillId="0" borderId="20" xfId="2" applyFont="1" applyFill="1" applyBorder="1" applyAlignment="1">
      <alignment vertical="top" wrapText="1"/>
    </xf>
    <xf numFmtId="167" fontId="85" fillId="0" borderId="20" xfId="2" applyNumberFormat="1" applyFont="1" applyFill="1" applyBorder="1" applyAlignment="1">
      <alignment vertical="top" wrapText="1"/>
    </xf>
    <xf numFmtId="165" fontId="85" fillId="0" borderId="20" xfId="2" applyNumberFormat="1" applyFont="1" applyFill="1" applyBorder="1" applyAlignment="1">
      <alignment horizontal="right" vertical="top"/>
    </xf>
    <xf numFmtId="2" fontId="85" fillId="0" borderId="20" xfId="2" applyNumberFormat="1" applyFont="1" applyFill="1" applyBorder="1" applyAlignment="1">
      <alignment horizontal="center" vertical="center"/>
    </xf>
    <xf numFmtId="2" fontId="85" fillId="0" borderId="20" xfId="2" applyNumberFormat="1" applyFont="1" applyFill="1" applyBorder="1" applyAlignment="1">
      <alignment horizontal="center" vertical="center" wrapText="1"/>
    </xf>
    <xf numFmtId="4" fontId="85" fillId="0" borderId="20" xfId="2" applyNumberFormat="1" applyFont="1" applyFill="1" applyBorder="1" applyAlignment="1">
      <alignment horizontal="center" vertical="center"/>
    </xf>
    <xf numFmtId="165" fontId="85"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5"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8" fillId="0" borderId="3" xfId="2" applyNumberFormat="1" applyFont="1" applyFill="1" applyBorder="1" applyAlignment="1">
      <alignment vertical="top" wrapText="1"/>
    </xf>
    <xf numFmtId="165" fontId="89" fillId="0" borderId="3" xfId="2" applyNumberFormat="1" applyFont="1" applyFill="1" applyBorder="1" applyAlignment="1">
      <alignment horizontal="center" vertical="top"/>
    </xf>
    <xf numFmtId="2" fontId="89" fillId="0" borderId="3" xfId="2" applyNumberFormat="1" applyFont="1" applyFill="1" applyBorder="1" applyAlignment="1">
      <alignment horizontal="center" vertical="center"/>
    </xf>
    <xf numFmtId="165" fontId="89"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9" fillId="0" borderId="8" xfId="2" applyNumberFormat="1" applyFont="1" applyFill="1" applyBorder="1" applyAlignment="1">
      <alignment horizontal="right" vertical="top"/>
    </xf>
    <xf numFmtId="2" fontId="89" fillId="0" borderId="8" xfId="2" applyNumberFormat="1" applyFont="1" applyFill="1" applyBorder="1" applyAlignment="1">
      <alignment horizontal="center" vertical="center"/>
    </xf>
    <xf numFmtId="166" fontId="90" fillId="0" borderId="8" xfId="2" applyNumberFormat="1" applyFont="1" applyFill="1" applyBorder="1" applyAlignment="1">
      <alignment horizontal="center" vertical="center"/>
    </xf>
    <xf numFmtId="167" fontId="90" fillId="0" borderId="8" xfId="2" applyNumberFormat="1" applyFont="1" applyFill="1" applyBorder="1" applyAlignment="1">
      <alignment horizontal="center" vertical="center"/>
    </xf>
    <xf numFmtId="167" fontId="90" fillId="0" borderId="71" xfId="2" applyNumberFormat="1" applyFont="1" applyFill="1" applyBorder="1" applyAlignment="1">
      <alignment horizontal="center" vertical="center"/>
    </xf>
    <xf numFmtId="49" fontId="85" fillId="0" borderId="19" xfId="2" applyNumberFormat="1" applyFont="1" applyFill="1" applyBorder="1" applyAlignment="1">
      <alignment horizontal="center" vertical="top"/>
    </xf>
    <xf numFmtId="165" fontId="85" fillId="0" borderId="21" xfId="2" applyNumberFormat="1" applyFont="1" applyFill="1" applyBorder="1" applyAlignment="1">
      <alignment horizontal="center" vertical="center"/>
    </xf>
    <xf numFmtId="49" fontId="85" fillId="0" borderId="5" xfId="2" applyNumberFormat="1" applyFont="1" applyFill="1" applyBorder="1" applyAlignment="1">
      <alignment horizontal="center" vertical="top"/>
    </xf>
    <xf numFmtId="165" fontId="85"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9" fillId="0" borderId="0" xfId="0" applyFont="1"/>
    <xf numFmtId="164" fontId="64"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4" fillId="0" borderId="0" xfId="2" applyNumberFormat="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4" fontId="102"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4" fillId="0" borderId="5" xfId="2" applyNumberFormat="1" applyFont="1" applyFill="1" applyBorder="1" applyAlignment="1">
      <alignment horizontal="center" vertical="center" wrapText="1"/>
    </xf>
    <xf numFmtId="2" fontId="64"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4"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164" fontId="15" fillId="20" borderId="6" xfId="2" applyNumberFormat="1" applyFont="1" applyFill="1" applyBorder="1" applyAlignment="1">
      <alignment horizontal="center" vertical="center"/>
    </xf>
    <xf numFmtId="0" fontId="64" fillId="20" borderId="5" xfId="2" applyFont="1" applyFill="1" applyBorder="1" applyAlignment="1">
      <alignment horizontal="center" vertical="center"/>
    </xf>
    <xf numFmtId="0" fontId="1" fillId="0" borderId="5" xfId="0" quotePrefix="1" applyFont="1" applyBorder="1" applyAlignment="1">
      <alignment vertical="center"/>
    </xf>
    <xf numFmtId="0" fontId="19" fillId="2" borderId="12" xfId="2" applyFont="1" applyFill="1" applyBorder="1" applyAlignment="1">
      <alignment horizontal="left" vertical="center" wrapText="1"/>
    </xf>
    <xf numFmtId="49" fontId="72" fillId="0" borderId="63" xfId="56" applyNumberFormat="1" applyFont="1" applyFill="1" applyBorder="1" applyAlignment="1">
      <alignment horizontal="center" vertical="center" wrapText="1"/>
    </xf>
    <xf numFmtId="49" fontId="64" fillId="2" borderId="69" xfId="56" applyNumberFormat="1" applyFont="1" applyFill="1" applyBorder="1" applyAlignment="1">
      <alignment horizontal="center" vertical="center" wrapText="1"/>
    </xf>
    <xf numFmtId="49" fontId="64"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4"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4"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2" fillId="0" borderId="16" xfId="56" applyFont="1" applyFill="1" applyBorder="1" applyAlignment="1">
      <alignment horizontal="center" vertical="center" wrapText="1"/>
    </xf>
    <xf numFmtId="1" fontId="72" fillId="0" borderId="18" xfId="49" applyNumberFormat="1" applyFont="1" applyFill="1" applyBorder="1" applyAlignment="1">
      <alignment vertical="center"/>
    </xf>
    <xf numFmtId="0" fontId="64" fillId="2" borderId="19" xfId="56" applyFont="1" applyFill="1" applyBorder="1" applyAlignment="1">
      <alignment horizontal="center" vertical="center" wrapText="1"/>
    </xf>
    <xf numFmtId="0" fontId="64"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4" fillId="0" borderId="5" xfId="2" applyFont="1" applyFill="1" applyBorder="1" applyAlignment="1">
      <alignment horizontal="left" vertical="center" wrapText="1"/>
    </xf>
    <xf numFmtId="0" fontId="64"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4" fillId="0" borderId="6" xfId="49" applyNumberFormat="1" applyFont="1" applyFill="1" applyBorder="1" applyAlignment="1">
      <alignment horizontal="center" vertical="center"/>
    </xf>
    <xf numFmtId="1" fontId="64" fillId="0" borderId="6" xfId="49" applyNumberFormat="1" applyFont="1" applyFill="1" applyBorder="1" applyAlignment="1">
      <alignment horizontal="center" vertical="center"/>
    </xf>
    <xf numFmtId="1" fontId="64" fillId="2" borderId="6" xfId="49" applyNumberFormat="1" applyFont="1" applyFill="1" applyBorder="1" applyAlignment="1">
      <alignment horizontal="center" vertical="center"/>
    </xf>
    <xf numFmtId="0" fontId="64" fillId="2" borderId="22" xfId="2" applyFont="1" applyFill="1" applyBorder="1" applyAlignment="1">
      <alignment horizontal="left" vertical="center" wrapText="1"/>
    </xf>
    <xf numFmtId="0" fontId="15" fillId="20" borderId="22" xfId="2" applyFont="1" applyFill="1" applyBorder="1" applyAlignment="1">
      <alignment horizontal="left" vertical="center" wrapText="1"/>
    </xf>
    <xf numFmtId="0" fontId="64"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0" borderId="5" xfId="2" applyFont="1" applyFill="1" applyBorder="1" applyAlignment="1">
      <alignment horizontal="left" vertical="center" wrapText="1"/>
    </xf>
    <xf numFmtId="2" fontId="64" fillId="2" borderId="1" xfId="49" applyNumberFormat="1" applyFont="1" applyFill="1" applyBorder="1" applyAlignment="1">
      <alignment horizontal="center" vertical="center"/>
    </xf>
    <xf numFmtId="2" fontId="78"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6" fillId="0" borderId="1" xfId="1" applyNumberFormat="1" applyFont="1" applyFill="1" applyBorder="1" applyAlignment="1">
      <alignment horizontal="center" vertical="center"/>
    </xf>
    <xf numFmtId="49" fontId="7" fillId="0" borderId="3" xfId="2" applyNumberFormat="1" applyFont="1" applyFill="1" applyBorder="1" applyAlignment="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64" fillId="0" borderId="0" xfId="56" applyNumberFormat="1" applyFont="1" applyFill="1" applyBorder="1" applyAlignment="1" applyProtection="1">
      <alignment horizontal="center" vertical="top" wrapText="1"/>
    </xf>
    <xf numFmtId="0" fontId="15" fillId="20" borderId="5" xfId="2" applyFont="1" applyFill="1" applyBorder="1" applyAlignment="1">
      <alignment horizontal="left" vertical="center" wrapText="1"/>
    </xf>
    <xf numFmtId="0" fontId="15" fillId="20" borderId="6" xfId="2" applyFont="1" applyFill="1" applyBorder="1" applyAlignment="1">
      <alignment vertical="top" wrapText="1"/>
    </xf>
    <xf numFmtId="170" fontId="1" fillId="20" borderId="1" xfId="0" applyNumberFormat="1" applyFont="1" applyFill="1" applyBorder="1" applyAlignment="1">
      <alignment horizontal="right" vertical="center"/>
    </xf>
    <xf numFmtId="0" fontId="99" fillId="20" borderId="6" xfId="2" applyFont="1" applyFill="1" applyBorder="1" applyAlignment="1">
      <alignment vertical="center" wrapText="1"/>
    </xf>
    <xf numFmtId="0" fontId="99" fillId="20" borderId="6" xfId="2" applyFont="1" applyFill="1" applyBorder="1" applyAlignment="1">
      <alignment vertical="top" wrapText="1"/>
    </xf>
    <xf numFmtId="0" fontId="15" fillId="20" borderId="1" xfId="2" applyFont="1" applyFill="1" applyBorder="1" applyAlignment="1">
      <alignment horizontal="left" vertical="center" wrapText="1"/>
    </xf>
    <xf numFmtId="0" fontId="7" fillId="20" borderId="5" xfId="2" applyFont="1" applyFill="1" applyBorder="1" applyAlignment="1">
      <alignment horizontal="center" vertical="center"/>
    </xf>
    <xf numFmtId="0" fontId="15" fillId="20" borderId="1" xfId="2" applyFont="1" applyFill="1" applyBorder="1" applyAlignment="1">
      <alignment horizontal="left" vertical="center"/>
    </xf>
    <xf numFmtId="164" fontId="7" fillId="20" borderId="6" xfId="2" applyNumberFormat="1" applyFont="1" applyFill="1" applyBorder="1" applyAlignment="1">
      <alignment horizontal="center" vertical="center"/>
    </xf>
    <xf numFmtId="0" fontId="11" fillId="20" borderId="5" xfId="2" applyFont="1" applyFill="1" applyBorder="1" applyAlignment="1">
      <alignment horizontal="center" vertical="center"/>
    </xf>
    <xf numFmtId="0" fontId="64" fillId="20" borderId="1" xfId="2" applyFont="1" applyFill="1" applyBorder="1" applyAlignment="1">
      <alignment horizontal="left" vertical="center"/>
    </xf>
    <xf numFmtId="164" fontId="11" fillId="20" borderId="6" xfId="2" applyNumberFormat="1" applyFont="1" applyFill="1" applyBorder="1" applyAlignment="1">
      <alignment horizontal="center" vertical="center"/>
    </xf>
    <xf numFmtId="164" fontId="64" fillId="20" borderId="6" xfId="2" applyNumberFormat="1" applyFont="1" applyFill="1" applyBorder="1" applyAlignment="1">
      <alignment horizontal="center" vertical="center"/>
    </xf>
    <xf numFmtId="0" fontId="15" fillId="20" borderId="5" xfId="2" applyFont="1" applyFill="1" applyBorder="1"/>
    <xf numFmtId="0" fontId="11" fillId="20" borderId="1" xfId="2" applyFont="1" applyFill="1" applyBorder="1" applyAlignment="1">
      <alignment horizontal="left" vertical="center" wrapText="1"/>
    </xf>
    <xf numFmtId="0" fontId="11" fillId="20" borderId="1" xfId="2" applyFont="1" applyFill="1" applyBorder="1" applyAlignment="1">
      <alignment horizontal="centerContinuous" vertical="center" wrapText="1"/>
    </xf>
    <xf numFmtId="0" fontId="15" fillId="20" borderId="1" xfId="2" applyFont="1" applyFill="1" applyBorder="1" applyAlignment="1">
      <alignment horizontal="centerContinuous" vertical="center" wrapText="1"/>
    </xf>
    <xf numFmtId="0" fontId="11" fillId="20" borderId="5" xfId="2" applyFont="1" applyFill="1" applyBorder="1" applyAlignment="1">
      <alignment horizontal="center"/>
    </xf>
    <xf numFmtId="0" fontId="11" fillId="20" borderId="1" xfId="2" applyFont="1" applyFill="1" applyBorder="1" applyAlignment="1">
      <alignment horizontal="left" vertical="center"/>
    </xf>
    <xf numFmtId="164" fontId="11" fillId="20" borderId="6" xfId="2" applyNumberFormat="1" applyFont="1" applyFill="1" applyBorder="1" applyAlignment="1">
      <alignment horizontal="center"/>
    </xf>
    <xf numFmtId="0" fontId="11" fillId="20" borderId="7" xfId="2" applyFont="1" applyFill="1" applyBorder="1" applyAlignment="1">
      <alignment horizontal="center"/>
    </xf>
    <xf numFmtId="0" fontId="11" fillId="20" borderId="8" xfId="2" applyFont="1" applyFill="1" applyBorder="1" applyAlignment="1">
      <alignment horizontal="left" vertical="center"/>
    </xf>
    <xf numFmtId="164" fontId="11" fillId="20" borderId="71" xfId="2" applyNumberFormat="1" applyFont="1" applyFill="1" applyBorder="1" applyAlignment="1">
      <alignment horizontal="center"/>
    </xf>
    <xf numFmtId="0" fontId="15" fillId="20" borderId="0" xfId="2" applyFont="1" applyFill="1"/>
    <xf numFmtId="0" fontId="15" fillId="20" borderId="0" xfId="2" applyFont="1" applyFill="1" applyAlignment="1">
      <alignment horizontal="right"/>
    </xf>
    <xf numFmtId="0" fontId="15" fillId="20" borderId="2" xfId="2" applyFont="1" applyFill="1" applyBorder="1" applyAlignment="1">
      <alignment horizontal="center" vertical="top" wrapText="1"/>
    </xf>
    <xf numFmtId="0" fontId="15" fillId="20" borderId="3" xfId="2" applyFont="1" applyFill="1" applyBorder="1" applyAlignment="1">
      <alignment horizontal="center" vertical="top" wrapText="1"/>
    </xf>
    <xf numFmtId="0" fontId="15" fillId="20" borderId="4" xfId="2" applyFont="1" applyFill="1" applyBorder="1" applyAlignment="1">
      <alignment horizontal="center" vertical="top" wrapText="1"/>
    </xf>
    <xf numFmtId="0" fontId="15" fillId="20" borderId="22" xfId="2" applyFont="1" applyFill="1" applyBorder="1" applyAlignment="1">
      <alignment horizontal="center" vertical="top" wrapText="1"/>
    </xf>
    <xf numFmtId="0" fontId="15" fillId="20" borderId="12" xfId="2" applyFont="1" applyFill="1" applyBorder="1" applyAlignment="1">
      <alignment horizontal="center" vertical="top" wrapText="1"/>
    </xf>
    <xf numFmtId="0" fontId="15" fillId="20" borderId="14" xfId="2" applyFont="1" applyFill="1" applyBorder="1" applyAlignment="1">
      <alignment horizontal="center" vertical="top" wrapText="1"/>
    </xf>
    <xf numFmtId="0" fontId="19" fillId="20" borderId="1" xfId="2" applyFont="1" applyFill="1" applyBorder="1" applyAlignment="1">
      <alignment horizontal="left" wrapText="1"/>
    </xf>
    <xf numFmtId="0" fontId="15" fillId="20" borderId="6" xfId="2" applyFont="1" applyFill="1" applyBorder="1" applyAlignment="1">
      <alignment horizontal="center" vertical="center"/>
    </xf>
    <xf numFmtId="0" fontId="11" fillId="20" borderId="5" xfId="2" applyFont="1" applyFill="1" applyBorder="1" applyAlignment="1">
      <alignment horizontal="centerContinuous" vertical="center"/>
    </xf>
    <xf numFmtId="0" fontId="11" fillId="20" borderId="1" xfId="2" applyFont="1" applyFill="1" applyBorder="1" applyAlignment="1">
      <alignment horizontal="centerContinuous" vertical="center"/>
    </xf>
    <xf numFmtId="164" fontId="11" fillId="20" borderId="5" xfId="2" applyNumberFormat="1" applyFont="1" applyFill="1" applyBorder="1" applyAlignment="1">
      <alignment horizontal="center" vertical="center"/>
    </xf>
    <xf numFmtId="164" fontId="11" fillId="20" borderId="1" xfId="2" applyNumberFormat="1" applyFont="1" applyFill="1" applyBorder="1" applyAlignment="1">
      <alignment horizontal="center" vertical="center"/>
    </xf>
    <xf numFmtId="0" fontId="1" fillId="20" borderId="5" xfId="0" applyFont="1" applyFill="1" applyBorder="1" applyAlignment="1">
      <alignment vertical="center"/>
    </xf>
    <xf numFmtId="0" fontId="1" fillId="20" borderId="1" xfId="0" applyFont="1" applyFill="1" applyBorder="1" applyAlignment="1">
      <alignment horizontal="center" vertical="center" wrapText="1"/>
    </xf>
    <xf numFmtId="0" fontId="1" fillId="20" borderId="1" xfId="0" applyFont="1" applyFill="1" applyBorder="1" applyAlignment="1">
      <alignment vertical="center" wrapText="1"/>
    </xf>
    <xf numFmtId="164" fontId="1" fillId="20" borderId="1" xfId="0" applyNumberFormat="1" applyFont="1" applyFill="1" applyBorder="1" applyAlignment="1">
      <alignment horizontal="right" vertical="center" wrapText="1"/>
    </xf>
    <xf numFmtId="164" fontId="1" fillId="20" borderId="1" xfId="0" applyNumberFormat="1" applyFont="1" applyFill="1" applyBorder="1" applyAlignment="1">
      <alignment horizontal="right" vertical="center"/>
    </xf>
    <xf numFmtId="0" fontId="1" fillId="20" borderId="0" xfId="0" applyFont="1" applyFill="1"/>
    <xf numFmtId="4" fontId="7" fillId="20" borderId="54" xfId="2" applyNumberFormat="1" applyFont="1" applyFill="1" applyBorder="1" applyAlignment="1">
      <alignment horizontal="center" vertical="center" wrapText="1"/>
    </xf>
    <xf numFmtId="4" fontId="102" fillId="20" borderId="1" xfId="2" applyNumberFormat="1" applyFont="1" applyFill="1" applyBorder="1" applyAlignment="1">
      <alignment horizontal="center" vertical="center" wrapText="1"/>
    </xf>
    <xf numFmtId="2" fontId="15" fillId="20" borderId="1" xfId="2" applyNumberFormat="1" applyFont="1" applyFill="1" applyBorder="1" applyAlignment="1">
      <alignment horizontal="center" vertical="center" wrapText="1"/>
    </xf>
    <xf numFmtId="1" fontId="7" fillId="20" borderId="1" xfId="2" applyNumberFormat="1" applyFont="1" applyFill="1" applyBorder="1" applyAlignment="1">
      <alignment horizontal="center" vertical="center"/>
    </xf>
    <xf numFmtId="0" fontId="11" fillId="20" borderId="0" xfId="2" applyFont="1" applyFill="1" applyAlignment="1">
      <alignment horizontal="left"/>
    </xf>
    <xf numFmtId="0" fontId="64" fillId="20" borderId="1" xfId="2" applyFont="1" applyFill="1" applyBorder="1" applyAlignment="1">
      <alignment horizontal="center"/>
    </xf>
    <xf numFmtId="0" fontId="64" fillId="20" borderId="6" xfId="2" applyFont="1" applyFill="1" applyBorder="1" applyAlignment="1">
      <alignment horizontal="center"/>
    </xf>
    <xf numFmtId="0" fontId="18" fillId="20" borderId="5" xfId="2" applyFont="1" applyFill="1" applyBorder="1" applyAlignment="1">
      <alignment horizontal="left" vertical="center" wrapText="1"/>
    </xf>
    <xf numFmtId="49" fontId="7" fillId="20" borderId="1" xfId="2" applyNumberFormat="1" applyFont="1" applyFill="1" applyBorder="1" applyAlignment="1">
      <alignment horizontal="center" vertical="center" wrapText="1"/>
    </xf>
    <xf numFmtId="14" fontId="15" fillId="20" borderId="1" xfId="2" applyNumberFormat="1" applyFont="1" applyFill="1" applyBorder="1" applyAlignment="1">
      <alignment horizontal="center" vertical="center" wrapText="1"/>
    </xf>
    <xf numFmtId="49" fontId="7" fillId="20" borderId="1" xfId="56" applyNumberFormat="1" applyFont="1" applyFill="1" applyBorder="1" applyAlignment="1">
      <alignment horizontal="center" vertical="center" wrapText="1"/>
    </xf>
    <xf numFmtId="0" fontId="15" fillId="20" borderId="6" xfId="2" applyFont="1" applyFill="1" applyBorder="1" applyAlignment="1">
      <alignment horizontal="left" vertical="center" wrapText="1"/>
    </xf>
    <xf numFmtId="0" fontId="7" fillId="20" borderId="6" xfId="2" applyFont="1" applyFill="1" applyBorder="1" applyAlignment="1">
      <alignment horizontal="left" vertical="center" wrapText="1"/>
    </xf>
    <xf numFmtId="0" fontId="15" fillId="20" borderId="6" xfId="56" applyFont="1" applyFill="1" applyBorder="1" applyAlignment="1">
      <alignment vertical="center" wrapText="1"/>
    </xf>
    <xf numFmtId="49" fontId="15" fillId="20" borderId="1" xfId="2" applyNumberFormat="1" applyFont="1" applyFill="1" applyBorder="1" applyAlignment="1">
      <alignment horizontal="center" vertical="center" wrapText="1"/>
    </xf>
    <xf numFmtId="14" fontId="75" fillId="20" borderId="1" xfId="2" applyNumberFormat="1" applyFont="1" applyFill="1" applyBorder="1" applyAlignment="1">
      <alignment horizontal="center" vertical="center" wrapText="1"/>
    </xf>
    <xf numFmtId="4" fontId="15" fillId="20" borderId="1" xfId="2" applyNumberFormat="1" applyFont="1" applyFill="1" applyBorder="1" applyAlignment="1">
      <alignment horizontal="center" vertical="center" wrapText="1"/>
    </xf>
    <xf numFmtId="4" fontId="99" fillId="20" borderId="1" xfId="2" applyNumberFormat="1" applyFont="1" applyFill="1" applyBorder="1" applyAlignment="1">
      <alignment horizontal="center" vertical="center" wrapText="1"/>
    </xf>
    <xf numFmtId="4" fontId="11" fillId="20" borderId="1" xfId="2" applyNumberFormat="1" applyFont="1" applyFill="1" applyBorder="1" applyAlignment="1">
      <alignment horizontal="center" vertical="center" wrapText="1"/>
    </xf>
    <xf numFmtId="0" fontId="7" fillId="2" borderId="11" xfId="2" applyFont="1" applyFill="1" applyBorder="1" applyAlignment="1">
      <alignment horizontal="left" vertical="center" wrapText="1"/>
    </xf>
    <xf numFmtId="49" fontId="7" fillId="2" borderId="13" xfId="2" applyNumberFormat="1" applyFont="1" applyFill="1" applyBorder="1" applyAlignment="1">
      <alignment horizontal="center" vertical="center" wrapText="1"/>
    </xf>
    <xf numFmtId="4" fontId="7" fillId="20" borderId="55" xfId="2" applyNumberFormat="1" applyFont="1" applyFill="1" applyBorder="1" applyAlignment="1">
      <alignment horizontal="center" vertical="center" wrapText="1"/>
    </xf>
    <xf numFmtId="4" fontId="7" fillId="0" borderId="13" xfId="2" applyNumberFormat="1" applyFont="1" applyFill="1" applyBorder="1" applyAlignment="1">
      <alignment horizontal="center" vertical="center" wrapText="1"/>
    </xf>
    <xf numFmtId="49" fontId="7" fillId="2" borderId="73" xfId="2" applyNumberFormat="1" applyFont="1" applyFill="1" applyBorder="1" applyAlignment="1">
      <alignment horizontal="center" vertical="center" wrapText="1"/>
    </xf>
    <xf numFmtId="0" fontId="7" fillId="20" borderId="2" xfId="2" applyFont="1" applyFill="1" applyBorder="1" applyAlignment="1">
      <alignment horizontal="left" vertical="center" wrapText="1"/>
    </xf>
    <xf numFmtId="49" fontId="7" fillId="20" borderId="3" xfId="2" applyNumberFormat="1" applyFont="1" applyFill="1" applyBorder="1" applyAlignment="1">
      <alignment horizontal="center" vertical="center" wrapText="1"/>
    </xf>
    <xf numFmtId="4" fontId="7" fillId="20" borderId="3" xfId="2" applyNumberFormat="1" applyFont="1" applyFill="1" applyBorder="1" applyAlignment="1">
      <alignment horizontal="center" vertical="center" wrapText="1"/>
    </xf>
    <xf numFmtId="0" fontId="7" fillId="20" borderId="4" xfId="2" applyFont="1" applyFill="1" applyBorder="1" applyAlignment="1">
      <alignment vertical="center" wrapText="1"/>
    </xf>
    <xf numFmtId="0" fontId="7" fillId="20" borderId="5" xfId="2" quotePrefix="1" applyFont="1" applyFill="1" applyBorder="1" applyAlignment="1">
      <alignment horizontal="left" vertical="center" wrapText="1"/>
    </xf>
    <xf numFmtId="4" fontId="7" fillId="20" borderId="8" xfId="2" applyNumberFormat="1" applyFont="1" applyFill="1" applyBorder="1" applyAlignment="1">
      <alignment horizontal="center" vertical="center" wrapText="1"/>
    </xf>
    <xf numFmtId="0" fontId="7" fillId="20" borderId="71" xfId="2" applyFont="1" applyFill="1" applyBorder="1" applyAlignment="1">
      <alignment vertical="center" wrapText="1"/>
    </xf>
    <xf numFmtId="0" fontId="64" fillId="0" borderId="1" xfId="2" applyFont="1" applyFill="1" applyBorder="1" applyAlignment="1">
      <alignment horizontal="left" vertical="center"/>
    </xf>
    <xf numFmtId="49" fontId="15" fillId="2" borderId="5"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2" fontId="75" fillId="2" borderId="1" xfId="49" applyNumberFormat="1" applyFont="1" applyFill="1" applyBorder="1" applyAlignment="1">
      <alignment horizontal="center" vertical="center"/>
    </xf>
    <xf numFmtId="2" fontId="64" fillId="2" borderId="20" xfId="49" applyNumberFormat="1" applyFont="1" applyFill="1" applyBorder="1" applyAlignment="1">
      <alignment horizontal="center" vertical="center"/>
    </xf>
    <xf numFmtId="2" fontId="11" fillId="2" borderId="21" xfId="49" applyNumberFormat="1" applyFont="1" applyFill="1" applyBorder="1" applyAlignment="1">
      <alignment horizontal="center" vertical="center"/>
    </xf>
    <xf numFmtId="49" fontId="64" fillId="20" borderId="5" xfId="56" applyNumberFormat="1" applyFont="1" applyFill="1" applyBorder="1" applyAlignment="1">
      <alignment horizontal="center" vertical="center" wrapText="1"/>
    </xf>
    <xf numFmtId="49" fontId="15" fillId="20" borderId="1" xfId="56" applyNumberFormat="1" applyFont="1" applyFill="1" applyBorder="1" applyAlignment="1">
      <alignment horizontal="center" vertical="center" wrapText="1"/>
    </xf>
    <xf numFmtId="49" fontId="15" fillId="20" borderId="56" xfId="56" applyNumberFormat="1" applyFont="1" applyFill="1" applyBorder="1" applyAlignment="1">
      <alignment horizontal="center" vertical="center" wrapText="1"/>
    </xf>
    <xf numFmtId="0" fontId="15" fillId="20" borderId="22" xfId="56" applyFont="1" applyFill="1" applyBorder="1" applyAlignment="1">
      <alignment horizontal="left" vertical="center" wrapText="1"/>
    </xf>
    <xf numFmtId="1" fontId="11" fillId="20" borderId="1" xfId="49" applyNumberFormat="1" applyFont="1" applyFill="1" applyBorder="1" applyAlignment="1">
      <alignment horizontal="center" vertical="center"/>
    </xf>
    <xf numFmtId="1" fontId="7" fillId="20" borderId="1" xfId="49" applyNumberFormat="1" applyFont="1" applyFill="1" applyBorder="1" applyAlignment="1">
      <alignment horizontal="center" vertical="center"/>
    </xf>
    <xf numFmtId="164" fontId="1" fillId="0" borderId="1" xfId="0" applyNumberFormat="1" applyFont="1" applyBorder="1" applyAlignment="1">
      <alignment vertical="center" wrapText="1"/>
    </xf>
    <xf numFmtId="4" fontId="7" fillId="21" borderId="1" xfId="2" applyNumberFormat="1" applyFont="1" applyFill="1" applyBorder="1" applyAlignment="1">
      <alignment horizontal="center" vertical="center" wrapText="1"/>
    </xf>
    <xf numFmtId="4" fontId="7" fillId="20" borderId="12" xfId="2" applyNumberFormat="1" applyFont="1" applyFill="1" applyBorder="1" applyAlignment="1">
      <alignment horizontal="center" vertical="center" wrapText="1"/>
    </xf>
    <xf numFmtId="4" fontId="104" fillId="20" borderId="1" xfId="2" applyNumberFormat="1" applyFont="1" applyFill="1" applyBorder="1" applyAlignment="1">
      <alignment horizontal="center" vertical="center" wrapText="1"/>
    </xf>
    <xf numFmtId="0" fontId="15" fillId="20" borderId="6" xfId="2" quotePrefix="1" applyFont="1" applyFill="1" applyBorder="1" applyAlignment="1">
      <alignment vertical="center" wrapText="1"/>
    </xf>
    <xf numFmtId="49" fontId="15" fillId="20" borderId="22" xfId="2" applyNumberFormat="1" applyFont="1" applyFill="1" applyBorder="1" applyAlignment="1">
      <alignment horizontal="center" vertical="center" wrapText="1"/>
    </xf>
    <xf numFmtId="49" fontId="15" fillId="20" borderId="56" xfId="2" applyNumberFormat="1" applyFont="1" applyFill="1" applyBorder="1" applyAlignment="1">
      <alignment horizontal="center" vertical="center" wrapText="1"/>
    </xf>
    <xf numFmtId="49" fontId="15" fillId="20" borderId="5" xfId="2" applyNumberFormat="1" applyFont="1" applyFill="1" applyBorder="1" applyAlignment="1">
      <alignment horizontal="center" vertical="center" wrapText="1"/>
    </xf>
    <xf numFmtId="1" fontId="77" fillId="2" borderId="1" xfId="1" applyNumberFormat="1" applyFont="1" applyFill="1" applyBorder="1" applyAlignment="1">
      <alignment horizontal="center" vertical="center"/>
    </xf>
    <xf numFmtId="0" fontId="11" fillId="0" borderId="1" xfId="2" applyFont="1" applyFill="1" applyBorder="1" applyAlignment="1">
      <alignment wrapText="1"/>
    </xf>
    <xf numFmtId="170" fontId="1" fillId="0" borderId="1" xfId="0" applyNumberFormat="1" applyFont="1" applyFill="1" applyBorder="1" applyAlignment="1">
      <alignment horizontal="right" vertical="center"/>
    </xf>
    <xf numFmtId="170" fontId="1" fillId="0" borderId="1" xfId="0" applyNumberFormat="1" applyFont="1" applyFill="1" applyBorder="1" applyAlignment="1">
      <alignment horizontal="right" vertical="center" wrapText="1"/>
    </xf>
    <xf numFmtId="0" fontId="15" fillId="21" borderId="0" xfId="2" applyFont="1" applyFill="1"/>
    <xf numFmtId="0" fontId="15" fillId="0" borderId="1" xfId="2" applyFont="1" applyFill="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 fillId="0" borderId="71" xfId="0" applyNumberFormat="1" applyFont="1" applyFill="1" applyBorder="1" applyAlignment="1">
      <alignment horizontal="right"/>
    </xf>
    <xf numFmtId="49" fontId="7" fillId="20" borderId="60" xfId="2" applyNumberFormat="1" applyFont="1" applyFill="1" applyBorder="1" applyAlignment="1">
      <alignment horizontal="center" vertical="center" wrapText="1"/>
    </xf>
    <xf numFmtId="4" fontId="7" fillId="0" borderId="3"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7" fillId="21" borderId="5" xfId="2" applyFont="1" applyFill="1" applyBorder="1" applyAlignment="1">
      <alignment horizontal="left" vertical="center" wrapText="1"/>
    </xf>
    <xf numFmtId="49" fontId="7" fillId="21" borderId="1" xfId="2" applyNumberFormat="1" applyFont="1" applyFill="1" applyBorder="1" applyAlignment="1">
      <alignment horizontal="center" vertical="center" wrapText="1"/>
    </xf>
    <xf numFmtId="0" fontId="15" fillId="21" borderId="6" xfId="2" applyFont="1" applyFill="1" applyBorder="1" applyAlignment="1">
      <alignment vertical="center" wrapText="1"/>
    </xf>
    <xf numFmtId="14" fontId="15" fillId="0" borderId="1" xfId="2" applyNumberFormat="1" applyFont="1" applyFill="1" applyBorder="1" applyAlignment="1">
      <alignment horizontal="center" vertical="center" wrapText="1"/>
    </xf>
    <xf numFmtId="1" fontId="11" fillId="0" borderId="56" xfId="2" applyNumberFormat="1" applyFont="1" applyFill="1" applyBorder="1" applyAlignment="1">
      <alignment horizontal="center" vertical="center"/>
    </xf>
    <xf numFmtId="164" fontId="2" fillId="0" borderId="1" xfId="0" applyNumberFormat="1" applyFont="1" applyFill="1" applyBorder="1" applyAlignment="1">
      <alignment horizontal="right" vertical="center"/>
    </xf>
    <xf numFmtId="1" fontId="7" fillId="20" borderId="1" xfId="1" applyNumberFormat="1" applyFont="1" applyFill="1" applyBorder="1" applyAlignment="1">
      <alignment horizontal="center" vertical="center"/>
    </xf>
    <xf numFmtId="4" fontId="7" fillId="20" borderId="10" xfId="2" applyNumberFormat="1" applyFont="1" applyFill="1" applyBorder="1" applyAlignment="1">
      <alignment horizontal="center" vertical="center" wrapText="1"/>
    </xf>
    <xf numFmtId="0" fontId="15" fillId="20" borderId="14" xfId="2" applyFont="1" applyFill="1" applyBorder="1" applyAlignment="1">
      <alignment vertical="center" wrapText="1"/>
    </xf>
    <xf numFmtId="4" fontId="15" fillId="2" borderId="69" xfId="2" applyNumberFormat="1" applyFont="1" applyFill="1" applyBorder="1" applyAlignment="1">
      <alignment horizontal="center" vertical="center" wrapText="1"/>
    </xf>
    <xf numFmtId="14" fontId="15" fillId="2" borderId="20" xfId="2" applyNumberFormat="1" applyFont="1" applyFill="1" applyBorder="1" applyAlignment="1">
      <alignment horizontal="center" vertical="center" wrapText="1"/>
    </xf>
    <xf numFmtId="0" fontId="15" fillId="0" borderId="21" xfId="2" applyFont="1" applyFill="1" applyBorder="1" applyAlignment="1">
      <alignment vertical="center" wrapText="1"/>
    </xf>
    <xf numFmtId="4" fontId="7" fillId="2" borderId="3" xfId="2" applyNumberFormat="1" applyFont="1" applyFill="1" applyBorder="1" applyAlignment="1">
      <alignment horizontal="center" vertical="center" wrapText="1"/>
    </xf>
    <xf numFmtId="0" fontId="99" fillId="20" borderId="4" xfId="2" applyFont="1" applyFill="1" applyBorder="1" applyAlignment="1">
      <alignment vertical="top" wrapText="1"/>
    </xf>
    <xf numFmtId="0" fontId="7" fillId="2" borderId="7" xfId="2" applyFont="1" applyFill="1" applyBorder="1" applyAlignment="1">
      <alignment horizontal="left" vertical="center" wrapText="1"/>
    </xf>
    <xf numFmtId="49" fontId="7" fillId="2" borderId="8" xfId="2" applyNumberFormat="1" applyFont="1" applyFill="1" applyBorder="1" applyAlignment="1">
      <alignment horizontal="center" vertical="center" wrapText="1"/>
    </xf>
    <xf numFmtId="14" fontId="15" fillId="20" borderId="8" xfId="2" applyNumberFormat="1" applyFont="1" applyFill="1" applyBorder="1" applyAlignment="1">
      <alignment horizontal="center" vertical="center" wrapText="1"/>
    </xf>
    <xf numFmtId="14" fontId="15" fillId="2" borderId="13" xfId="2" applyNumberFormat="1" applyFont="1" applyFill="1" applyBorder="1" applyAlignment="1">
      <alignment horizontal="center" vertical="center" wrapText="1"/>
    </xf>
    <xf numFmtId="0" fontId="7" fillId="20" borderId="21" xfId="2" applyFont="1" applyFill="1" applyBorder="1" applyAlignment="1">
      <alignment vertical="center" wrapText="1"/>
    </xf>
    <xf numFmtId="0" fontId="15" fillId="2" borderId="7" xfId="2" applyFont="1" applyFill="1" applyBorder="1" applyAlignment="1">
      <alignment horizontal="left" vertical="center" wrapText="1"/>
    </xf>
    <xf numFmtId="49" fontId="15" fillId="2" borderId="8" xfId="2" applyNumberFormat="1" applyFont="1" applyFill="1" applyBorder="1" applyAlignment="1">
      <alignment horizontal="center" vertical="center" wrapText="1"/>
    </xf>
    <xf numFmtId="4" fontId="7" fillId="2" borderId="8" xfId="2" applyNumberFormat="1" applyFont="1" applyFill="1" applyBorder="1" applyAlignment="1">
      <alignment horizontal="center" vertical="center" wrapText="1"/>
    </xf>
    <xf numFmtId="14" fontId="15" fillId="2" borderId="8" xfId="2" applyNumberFormat="1" applyFont="1" applyFill="1" applyBorder="1" applyAlignment="1">
      <alignment horizontal="center" vertical="center" wrapText="1"/>
    </xf>
    <xf numFmtId="0" fontId="15" fillId="2" borderId="71" xfId="2" applyFont="1" applyFill="1" applyBorder="1" applyAlignment="1">
      <alignment vertical="center" wrapText="1"/>
    </xf>
    <xf numFmtId="0" fontId="15" fillId="20" borderId="5" xfId="2" applyFont="1" applyFill="1" applyBorder="1" applyAlignment="1">
      <alignment horizontal="center"/>
    </xf>
    <xf numFmtId="0" fontId="15" fillId="20" borderId="1" xfId="2" applyFont="1" applyFill="1" applyBorder="1" applyAlignment="1">
      <alignment horizont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1" fillId="20" borderId="12" xfId="2" applyFont="1" applyFill="1" applyBorder="1" applyAlignment="1">
      <alignment horizontal="left" vertical="center"/>
    </xf>
    <xf numFmtId="0" fontId="11" fillId="20" borderId="74" xfId="2" applyFont="1" applyFill="1" applyBorder="1" applyAlignment="1">
      <alignment horizontal="center"/>
    </xf>
    <xf numFmtId="0" fontId="11" fillId="20" borderId="38" xfId="2" applyFont="1" applyFill="1" applyBorder="1" applyAlignment="1">
      <alignment horizontal="left" vertical="center"/>
    </xf>
    <xf numFmtId="164" fontId="11" fillId="20" borderId="68" xfId="2" applyNumberFormat="1" applyFont="1" applyFill="1" applyBorder="1" applyAlignment="1">
      <alignment horizontal="center"/>
    </xf>
    <xf numFmtId="0" fontId="11" fillId="20" borderId="0" xfId="2" applyFont="1" applyFill="1" applyBorder="1" applyAlignment="1">
      <alignment horizontal="center"/>
    </xf>
    <xf numFmtId="0" fontId="11" fillId="20" borderId="61" xfId="2" applyFont="1" applyFill="1" applyBorder="1" applyAlignment="1">
      <alignment horizontal="left" vertical="center"/>
    </xf>
    <xf numFmtId="164" fontId="11" fillId="20" borderId="0" xfId="2" applyNumberFormat="1" applyFont="1" applyFill="1" applyBorder="1" applyAlignment="1">
      <alignment horizontal="center"/>
    </xf>
    <xf numFmtId="0" fontId="11" fillId="20" borderId="0" xfId="2" applyFont="1" applyFill="1" applyBorder="1" applyAlignment="1">
      <alignment horizontal="left" vertical="center"/>
    </xf>
    <xf numFmtId="0" fontId="15" fillId="20" borderId="20" xfId="2" applyFont="1" applyFill="1" applyBorder="1" applyAlignment="1">
      <alignment horizontal="left" vertical="center" wrapText="1"/>
    </xf>
    <xf numFmtId="0" fontId="106" fillId="0" borderId="45" xfId="2" applyFont="1" applyFill="1" applyBorder="1"/>
    <xf numFmtId="0" fontId="15"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105" fillId="0" borderId="0" xfId="2" applyFont="1" applyBorder="1" applyAlignment="1">
      <alignment horizontal="center" vertical="center"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68" fillId="2" borderId="1"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70" fillId="2" borderId="12" xfId="56" applyNumberFormat="1" applyFont="1" applyFill="1" applyBorder="1" applyAlignment="1" applyProtection="1">
      <alignment horizontal="center" vertical="center" wrapText="1"/>
    </xf>
    <xf numFmtId="0" fontId="71" fillId="0" borderId="13" xfId="2" applyFont="1" applyBorder="1" applyAlignment="1">
      <alignment horizontal="center" vertical="center" wrapText="1"/>
    </xf>
    <xf numFmtId="0" fontId="15" fillId="0" borderId="0" xfId="1" applyFont="1" applyAlignment="1">
      <alignment horizontal="left"/>
    </xf>
    <xf numFmtId="0" fontId="63" fillId="0" borderId="0" xfId="56" applyNumberFormat="1" applyFont="1" applyFill="1" applyBorder="1" applyAlignment="1" applyProtection="1">
      <alignment horizontal="center" vertical="top" wrapText="1"/>
    </xf>
    <xf numFmtId="0" fontId="66" fillId="2" borderId="9" xfId="56" applyNumberFormat="1" applyFont="1" applyFill="1" applyBorder="1" applyAlignment="1" applyProtection="1">
      <alignment horizontal="center" vertical="center" wrapText="1"/>
    </xf>
    <xf numFmtId="0" fontId="66" fillId="2" borderId="11" xfId="56" applyNumberFormat="1" applyFont="1" applyFill="1" applyBorder="1" applyAlignment="1" applyProtection="1">
      <alignment horizontal="center" vertical="center" wrapText="1"/>
    </xf>
    <xf numFmtId="0" fontId="66" fillId="2" borderId="10" xfId="56" applyNumberFormat="1" applyFont="1" applyFill="1" applyBorder="1" applyAlignment="1" applyProtection="1">
      <alignment horizontal="center" vertical="center" wrapText="1"/>
    </xf>
    <xf numFmtId="0" fontId="69" fillId="0" borderId="13" xfId="2" applyFont="1" applyBorder="1" applyAlignment="1">
      <alignment horizontal="center" vertical="center" wrapText="1"/>
    </xf>
    <xf numFmtId="0" fontId="66" fillId="2" borderId="72" xfId="56" applyNumberFormat="1" applyFont="1" applyFill="1" applyBorder="1" applyAlignment="1" applyProtection="1">
      <alignment horizontal="center" vertical="center" wrapText="1"/>
    </xf>
    <xf numFmtId="0" fontId="69" fillId="0" borderId="55" xfId="2" applyFont="1" applyBorder="1" applyAlignment="1">
      <alignment horizontal="center" vertical="center" wrapText="1"/>
    </xf>
    <xf numFmtId="0" fontId="68" fillId="2" borderId="9" xfId="56" applyNumberFormat="1" applyFont="1" applyFill="1" applyBorder="1" applyAlignment="1" applyProtection="1">
      <alignment horizontal="center" vertical="center" wrapText="1"/>
    </xf>
    <xf numFmtId="0" fontId="68" fillId="2" borderId="11" xfId="56" applyNumberFormat="1" applyFont="1" applyFill="1" applyBorder="1" applyAlignment="1" applyProtection="1">
      <alignment horizontal="center" vertical="center" wrapText="1"/>
    </xf>
    <xf numFmtId="0" fontId="68" fillId="2" borderId="3" xfId="56" applyNumberFormat="1" applyFont="1" applyFill="1" applyBorder="1" applyAlignment="1" applyProtection="1">
      <alignment horizontal="center" vertical="center" wrapText="1"/>
    </xf>
    <xf numFmtId="0" fontId="68" fillId="2" borderId="15" xfId="56" applyNumberFormat="1" applyFont="1" applyFill="1" applyBorder="1" applyAlignment="1" applyProtection="1">
      <alignment horizontal="center" vertical="center" wrapText="1"/>
    </xf>
    <xf numFmtId="0" fontId="68" fillId="2" borderId="58" xfId="56" applyNumberFormat="1" applyFont="1" applyFill="1" applyBorder="1" applyAlignment="1" applyProtection="1">
      <alignment horizontal="center" vertical="center" wrapText="1"/>
    </xf>
    <xf numFmtId="0" fontId="70" fillId="2" borderId="56" xfId="56" applyNumberFormat="1" applyFont="1" applyFill="1" applyBorder="1" applyAlignment="1" applyProtection="1">
      <alignment horizontal="center" vertical="center" wrapText="1"/>
    </xf>
    <xf numFmtId="0" fontId="71" fillId="0" borderId="57" xfId="2" applyFont="1" applyBorder="1" applyAlignment="1">
      <alignment horizontal="center" vertical="center" wrapText="1"/>
    </xf>
    <xf numFmtId="0" fontId="70" fillId="2" borderId="1" xfId="56" applyNumberFormat="1" applyFont="1" applyFill="1" applyBorder="1" applyAlignment="1" applyProtection="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9"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20" borderId="5" xfId="2" applyFont="1" applyFill="1" applyBorder="1" applyAlignment="1">
      <alignment horizontal="center"/>
    </xf>
    <xf numFmtId="0" fontId="15" fillId="20" borderId="1" xfId="2" applyFont="1" applyFill="1" applyBorder="1" applyAlignment="1">
      <alignment horizont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1" fillId="0" borderId="0" xfId="1" applyFont="1" applyAlignment="1">
      <alignment horizontal="left"/>
    </xf>
    <xf numFmtId="0" fontId="84" fillId="0" borderId="0" xfId="2" applyFont="1" applyFill="1" applyAlignment="1">
      <alignment horizontal="center" vertical="center" wrapText="1"/>
    </xf>
    <xf numFmtId="0" fontId="64" fillId="0" borderId="0" xfId="56" applyNumberFormat="1" applyFont="1" applyFill="1" applyBorder="1" applyAlignment="1" applyProtection="1">
      <alignment horizontal="center" vertical="top" wrapText="1"/>
    </xf>
    <xf numFmtId="0" fontId="64" fillId="0" borderId="37" xfId="56" applyNumberFormat="1" applyFont="1" applyFill="1" applyBorder="1" applyAlignment="1" applyProtection="1">
      <alignment horizontal="center" vertical="top" wrapText="1"/>
    </xf>
    <xf numFmtId="49" fontId="86" fillId="0" borderId="31" xfId="2" applyNumberFormat="1" applyFont="1" applyFill="1" applyBorder="1" applyAlignment="1">
      <alignment horizontal="center" vertical="center" wrapText="1"/>
    </xf>
    <xf numFmtId="49" fontId="86" fillId="0" borderId="64" xfId="2" applyNumberFormat="1" applyFont="1" applyFill="1" applyBorder="1" applyAlignment="1">
      <alignment horizontal="center" vertical="center" wrapText="1"/>
    </xf>
    <xf numFmtId="49" fontId="86" fillId="0" borderId="32" xfId="2" applyNumberFormat="1" applyFont="1" applyFill="1" applyBorder="1" applyAlignment="1">
      <alignment horizontal="center" vertical="center" wrapText="1"/>
    </xf>
    <xf numFmtId="49" fontId="86" fillId="0" borderId="52" xfId="2" applyNumberFormat="1" applyFont="1" applyFill="1" applyBorder="1" applyAlignment="1">
      <alignment horizontal="center" vertical="center" wrapText="1"/>
    </xf>
    <xf numFmtId="0" fontId="87" fillId="0" borderId="61" xfId="2" applyFont="1" applyFill="1" applyBorder="1" applyAlignment="1">
      <alignment horizontal="center" vertical="center" wrapText="1"/>
    </xf>
    <xf numFmtId="0" fontId="87"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4" fillId="0" borderId="40" xfId="2" applyFont="1" applyFill="1" applyBorder="1" applyAlignment="1">
      <alignment horizontal="center" vertical="center" wrapText="1"/>
    </xf>
    <xf numFmtId="0" fontId="64" fillId="0" borderId="70" xfId="2" applyFont="1" applyFill="1" applyBorder="1" applyAlignment="1">
      <alignment horizontal="center" vertical="center" wrapText="1"/>
    </xf>
    <xf numFmtId="0" fontId="64" fillId="2" borderId="16" xfId="2" applyFont="1" applyFill="1" applyBorder="1" applyAlignment="1">
      <alignment horizontal="center" vertical="center" wrapText="1"/>
    </xf>
    <xf numFmtId="0" fontId="64"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7" fillId="2" borderId="59" xfId="2" applyFont="1" applyFill="1" applyBorder="1" applyAlignment="1">
      <alignment vertical="top" wrapText="1"/>
    </xf>
    <xf numFmtId="0" fontId="15" fillId="0" borderId="0" xfId="2" applyFont="1" applyAlignment="1">
      <alignment horizontal="left" wrapText="1"/>
    </xf>
    <xf numFmtId="0" fontId="64" fillId="0" borderId="0" xfId="2" applyFont="1" applyBorder="1" applyAlignment="1">
      <alignment horizontal="center" vertical="top" wrapText="1"/>
    </xf>
    <xf numFmtId="4" fontId="64" fillId="0" borderId="0" xfId="2" applyNumberFormat="1" applyFont="1" applyBorder="1" applyAlignment="1">
      <alignment horizontal="left" vertical="center" wrapText="1"/>
    </xf>
    <xf numFmtId="0" fontId="97" fillId="0" borderId="0" xfId="2" applyFont="1" applyAlignment="1">
      <alignment vertical="center" wrapText="1"/>
    </xf>
    <xf numFmtId="4" fontId="64" fillId="0" borderId="45" xfId="2" applyNumberFormat="1" applyFont="1" applyBorder="1" applyAlignment="1">
      <alignment horizontal="left" vertical="center" wrapText="1"/>
    </xf>
    <xf numFmtId="4" fontId="64" fillId="0" borderId="65" xfId="2" applyNumberFormat="1" applyFont="1" applyBorder="1" applyAlignment="1">
      <alignment horizontal="left" vertical="center" wrapText="1"/>
    </xf>
    <xf numFmtId="0" fontId="97"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4" fillId="2" borderId="51" xfId="2" applyFont="1" applyFill="1" applyBorder="1" applyAlignment="1">
      <alignment horizontal="left" vertical="center"/>
    </xf>
    <xf numFmtId="0" fontId="64" fillId="2" borderId="0" xfId="2" applyFont="1" applyFill="1" applyBorder="1" applyAlignment="1">
      <alignment horizontal="left" vertical="center"/>
    </xf>
    <xf numFmtId="0" fontId="97" fillId="2" borderId="0" xfId="2" applyFont="1" applyFill="1" applyBorder="1" applyAlignment="1">
      <alignment vertical="center"/>
    </xf>
    <xf numFmtId="0" fontId="97" fillId="2" borderId="53" xfId="2" applyFont="1" applyFill="1" applyBorder="1" applyAlignment="1">
      <alignment vertical="center"/>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efreshError="1">
        <row r="93">
          <cell r="D93">
            <v>2855300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opLeftCell="A6" zoomScaleNormal="100" zoomScaleSheetLayoutView="87" workbookViewId="0">
      <selection activeCell="C3" sqref="C3:E3"/>
    </sheetView>
  </sheetViews>
  <sheetFormatPr defaultRowHeight="12.75" x14ac:dyDescent="0.2"/>
  <cols>
    <col min="1" max="1" width="11.7109375" style="46" customWidth="1"/>
    <col min="2" max="2" width="58.42578125" style="92"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x14ac:dyDescent="0.3">
      <c r="A2" s="9"/>
      <c r="B2" s="13"/>
      <c r="C2" s="14" t="s">
        <v>916</v>
      </c>
      <c r="D2" s="10"/>
      <c r="E2" s="10"/>
      <c r="G2" s="12"/>
    </row>
    <row r="3" spans="1:16" s="11" customFormat="1" ht="15.75" x14ac:dyDescent="0.25">
      <c r="A3" s="9"/>
      <c r="B3" s="9"/>
      <c r="C3" s="838" t="s">
        <v>989</v>
      </c>
      <c r="D3" s="838"/>
      <c r="E3" s="838"/>
      <c r="G3" s="12"/>
    </row>
    <row r="4" spans="1:16" s="11" customFormat="1" ht="15.75" x14ac:dyDescent="0.2">
      <c r="A4" s="841" t="s">
        <v>813</v>
      </c>
      <c r="B4" s="841"/>
      <c r="C4" s="841"/>
      <c r="D4" s="841"/>
      <c r="E4" s="841"/>
      <c r="F4" s="841"/>
      <c r="G4" s="12"/>
    </row>
    <row r="5" spans="1:16" s="11" customFormat="1" ht="30.75" customHeight="1" x14ac:dyDescent="0.2">
      <c r="A5" s="842" t="s">
        <v>689</v>
      </c>
      <c r="B5" s="842"/>
      <c r="C5" s="842"/>
      <c r="D5" s="842"/>
      <c r="E5" s="842"/>
      <c r="F5" s="842"/>
      <c r="G5" s="12"/>
    </row>
    <row r="6" spans="1:16" s="11" customFormat="1" ht="17.25" customHeight="1" x14ac:dyDescent="0.2">
      <c r="A6" s="15"/>
      <c r="B6" s="16">
        <v>11503000000</v>
      </c>
      <c r="C6" s="15"/>
      <c r="D6" s="15"/>
      <c r="E6" s="15"/>
      <c r="F6" s="15"/>
      <c r="G6" s="12"/>
    </row>
    <row r="7" spans="1:16" s="11" customFormat="1" ht="31.5" customHeight="1" thickBot="1" x14ac:dyDescent="0.3">
      <c r="A7" s="15"/>
      <c r="B7" s="586" t="s">
        <v>2</v>
      </c>
      <c r="C7" s="15"/>
      <c r="D7" s="15"/>
      <c r="E7" s="15"/>
      <c r="F7" s="17" t="s">
        <v>188</v>
      </c>
      <c r="G7" s="12"/>
    </row>
    <row r="8" spans="1:16" s="11" customFormat="1" ht="12.75" customHeight="1" x14ac:dyDescent="0.2">
      <c r="A8" s="843" t="s">
        <v>189</v>
      </c>
      <c r="B8" s="845" t="s">
        <v>190</v>
      </c>
      <c r="C8" s="847" t="s">
        <v>10</v>
      </c>
      <c r="D8" s="845" t="s">
        <v>11</v>
      </c>
      <c r="E8" s="847" t="s">
        <v>12</v>
      </c>
      <c r="F8" s="850"/>
      <c r="G8" s="12"/>
    </row>
    <row r="9" spans="1:16" s="11" customFormat="1" ht="48" thickBot="1" x14ac:dyDescent="0.25">
      <c r="A9" s="844"/>
      <c r="B9" s="846"/>
      <c r="C9" s="848"/>
      <c r="D9" s="849"/>
      <c r="E9" s="18" t="s">
        <v>10</v>
      </c>
      <c r="F9" s="19" t="s">
        <v>14</v>
      </c>
      <c r="G9" s="12"/>
    </row>
    <row r="10" spans="1:16" s="11" customFormat="1" ht="17.25" customHeight="1" thickBot="1" x14ac:dyDescent="0.25">
      <c r="A10" s="20">
        <v>1</v>
      </c>
      <c r="B10" s="21">
        <v>2</v>
      </c>
      <c r="C10" s="22">
        <v>3</v>
      </c>
      <c r="D10" s="22">
        <v>4</v>
      </c>
      <c r="E10" s="22">
        <v>5</v>
      </c>
      <c r="F10" s="23">
        <v>6</v>
      </c>
      <c r="G10" s="12"/>
      <c r="P10" s="15"/>
    </row>
    <row r="11" spans="1:16" s="30" customFormat="1" ht="16.5" thickBot="1" x14ac:dyDescent="0.25">
      <c r="A11" s="24" t="s">
        <v>191</v>
      </c>
      <c r="B11" s="25" t="s">
        <v>192</v>
      </c>
      <c r="C11" s="26">
        <f>C12+C26+C32+C48+C21</f>
        <v>0</v>
      </c>
      <c r="D11" s="26">
        <f>D12+D26+D32+D48+D21</f>
        <v>0</v>
      </c>
      <c r="E11" s="26">
        <f>E48</f>
        <v>0</v>
      </c>
      <c r="F11" s="27"/>
      <c r="G11" s="28"/>
      <c r="H11" s="29"/>
    </row>
    <row r="12" spans="1:16" s="30" customFormat="1" ht="31.5" hidden="1" x14ac:dyDescent="0.2">
      <c r="A12" s="31" t="s">
        <v>193</v>
      </c>
      <c r="B12" s="32" t="s">
        <v>194</v>
      </c>
      <c r="C12" s="33">
        <f>C13+C19</f>
        <v>0</v>
      </c>
      <c r="D12" s="33">
        <f>D13+D19</f>
        <v>0</v>
      </c>
      <c r="E12" s="33">
        <f>E13</f>
        <v>0</v>
      </c>
      <c r="F12" s="34"/>
      <c r="G12" s="35"/>
    </row>
    <row r="13" spans="1:16" s="30" customFormat="1" ht="14.25" hidden="1" customHeight="1" x14ac:dyDescent="0.2">
      <c r="A13" s="36" t="s">
        <v>195</v>
      </c>
      <c r="B13" s="37" t="s">
        <v>196</v>
      </c>
      <c r="C13" s="38">
        <f>C14+C15+C16+C17+C18</f>
        <v>0</v>
      </c>
      <c r="D13" s="38">
        <f>D14+D15+D16+D17+D18</f>
        <v>0</v>
      </c>
      <c r="E13" s="38">
        <f>E14+E15+E16+E17+E18</f>
        <v>0</v>
      </c>
      <c r="F13" s="39"/>
      <c r="G13" s="35"/>
    </row>
    <row r="14" spans="1:16" ht="47.25" hidden="1" x14ac:dyDescent="0.2">
      <c r="A14" s="40" t="s">
        <v>197</v>
      </c>
      <c r="B14" s="41" t="s">
        <v>198</v>
      </c>
      <c r="C14" s="42">
        <f t="shared" ref="C14:C20" si="0">D14+E14</f>
        <v>0</v>
      </c>
      <c r="D14" s="43"/>
      <c r="E14" s="42">
        <v>0</v>
      </c>
      <c r="F14" s="44"/>
      <c r="G14" s="45"/>
    </row>
    <row r="15" spans="1:16" ht="78.75" hidden="1" x14ac:dyDescent="0.2">
      <c r="A15" s="40" t="s">
        <v>199</v>
      </c>
      <c r="B15" s="41" t="s">
        <v>200</v>
      </c>
      <c r="C15" s="42">
        <f t="shared" si="0"/>
        <v>0</v>
      </c>
      <c r="D15" s="42"/>
      <c r="E15" s="42">
        <v>0</v>
      </c>
      <c r="F15" s="44"/>
      <c r="G15" s="45"/>
    </row>
    <row r="16" spans="1:16" ht="47.25" hidden="1" customHeight="1" x14ac:dyDescent="0.2">
      <c r="A16" s="40" t="s">
        <v>201</v>
      </c>
      <c r="B16" s="41" t="s">
        <v>202</v>
      </c>
      <c r="C16" s="42">
        <f t="shared" si="0"/>
        <v>0</v>
      </c>
      <c r="D16" s="42"/>
      <c r="E16" s="42">
        <v>0</v>
      </c>
      <c r="F16" s="44"/>
      <c r="G16" s="45"/>
    </row>
    <row r="17" spans="1:7" ht="42" hidden="1" customHeight="1" x14ac:dyDescent="0.2">
      <c r="A17" s="40" t="s">
        <v>203</v>
      </c>
      <c r="B17" s="41" t="s">
        <v>204</v>
      </c>
      <c r="C17" s="42">
        <f t="shared" si="0"/>
        <v>0</v>
      </c>
      <c r="D17" s="42"/>
      <c r="E17" s="42">
        <v>0</v>
      </c>
      <c r="F17" s="44"/>
      <c r="G17" s="45"/>
    </row>
    <row r="18" spans="1:7" ht="64.5" hidden="1" customHeight="1" x14ac:dyDescent="0.2">
      <c r="A18" s="40" t="s">
        <v>205</v>
      </c>
      <c r="B18" s="41" t="s">
        <v>206</v>
      </c>
      <c r="C18" s="42">
        <f t="shared" si="0"/>
        <v>0</v>
      </c>
      <c r="D18" s="42"/>
      <c r="E18" s="42">
        <v>0</v>
      </c>
      <c r="F18" s="44"/>
      <c r="G18" s="45"/>
    </row>
    <row r="19" spans="1:7" s="30" customFormat="1" ht="36.75" hidden="1" customHeight="1" x14ac:dyDescent="0.2">
      <c r="A19" s="36">
        <v>11020000</v>
      </c>
      <c r="B19" s="37" t="s">
        <v>207</v>
      </c>
      <c r="C19" s="38">
        <f t="shared" si="0"/>
        <v>0</v>
      </c>
      <c r="D19" s="38">
        <f>D20</f>
        <v>0</v>
      </c>
      <c r="E19" s="38"/>
      <c r="F19" s="39"/>
      <c r="G19" s="35"/>
    </row>
    <row r="20" spans="1:7" ht="38.25" hidden="1" customHeight="1" x14ac:dyDescent="0.2">
      <c r="A20" s="40">
        <v>11020200</v>
      </c>
      <c r="B20" s="41" t="s">
        <v>208</v>
      </c>
      <c r="C20" s="42">
        <f t="shared" si="0"/>
        <v>0</v>
      </c>
      <c r="D20" s="42"/>
      <c r="E20" s="42"/>
      <c r="F20" s="44"/>
      <c r="G20" s="45"/>
    </row>
    <row r="21" spans="1:7" s="30" customFormat="1" ht="36" hidden="1" customHeight="1" x14ac:dyDescent="0.2">
      <c r="A21" s="36">
        <v>13000000</v>
      </c>
      <c r="B21" s="37" t="s">
        <v>209</v>
      </c>
      <c r="C21" s="38">
        <f>C22+C24</f>
        <v>0</v>
      </c>
      <c r="D21" s="38">
        <f>D22+D24</f>
        <v>0</v>
      </c>
      <c r="E21" s="38"/>
      <c r="F21" s="39"/>
      <c r="G21" s="35"/>
    </row>
    <row r="22" spans="1:7" s="30" customFormat="1" ht="27" hidden="1" customHeight="1" x14ac:dyDescent="0.2">
      <c r="A22" s="36">
        <v>13010000</v>
      </c>
      <c r="B22" s="37" t="s">
        <v>210</v>
      </c>
      <c r="C22" s="38">
        <f>C23</f>
        <v>0</v>
      </c>
      <c r="D22" s="38">
        <f>D23</f>
        <v>0</v>
      </c>
      <c r="E22" s="38"/>
      <c r="F22" s="39"/>
      <c r="G22" s="35"/>
    </row>
    <row r="23" spans="1:7" ht="66" hidden="1" customHeight="1" x14ac:dyDescent="0.2">
      <c r="A23" s="40">
        <v>13010200</v>
      </c>
      <c r="B23" s="41" t="s">
        <v>211</v>
      </c>
      <c r="C23" s="42">
        <f>D23+E23</f>
        <v>0</v>
      </c>
      <c r="D23" s="42">
        <v>0</v>
      </c>
      <c r="E23" s="42"/>
      <c r="F23" s="44"/>
      <c r="G23" s="45"/>
    </row>
    <row r="24" spans="1:7" s="30" customFormat="1" ht="30" hidden="1" customHeight="1" x14ac:dyDescent="0.2">
      <c r="A24" s="36">
        <v>13030000</v>
      </c>
      <c r="B24" s="37" t="s">
        <v>212</v>
      </c>
      <c r="C24" s="38">
        <f>C25</f>
        <v>0</v>
      </c>
      <c r="D24" s="38">
        <f>D25</f>
        <v>0</v>
      </c>
      <c r="E24" s="38"/>
      <c r="F24" s="39"/>
      <c r="G24" s="35"/>
    </row>
    <row r="25" spans="1:7" ht="49.5" hidden="1" customHeight="1" x14ac:dyDescent="0.2">
      <c r="A25" s="40">
        <v>13030100</v>
      </c>
      <c r="B25" s="41" t="s">
        <v>213</v>
      </c>
      <c r="C25" s="42">
        <f>D25+E25</f>
        <v>0</v>
      </c>
      <c r="D25" s="42"/>
      <c r="E25" s="42">
        <v>0</v>
      </c>
      <c r="F25" s="44"/>
      <c r="G25" s="45"/>
    </row>
    <row r="26" spans="1:7" s="30" customFormat="1" ht="14.25" hidden="1" customHeight="1" x14ac:dyDescent="0.2">
      <c r="A26" s="36" t="s">
        <v>214</v>
      </c>
      <c r="B26" s="37" t="s">
        <v>215</v>
      </c>
      <c r="C26" s="38">
        <f>C27+C29+C31</f>
        <v>0</v>
      </c>
      <c r="D26" s="38">
        <f>D27+D29+D31</f>
        <v>0</v>
      </c>
      <c r="E26" s="38">
        <f>E27+E29+E31</f>
        <v>0</v>
      </c>
      <c r="F26" s="39"/>
      <c r="G26" s="35"/>
    </row>
    <row r="27" spans="1:7" s="30" customFormat="1" ht="31.5" hidden="1" x14ac:dyDescent="0.2">
      <c r="A27" s="36" t="s">
        <v>216</v>
      </c>
      <c r="B27" s="37" t="s">
        <v>217</v>
      </c>
      <c r="C27" s="38">
        <f>C28</f>
        <v>0</v>
      </c>
      <c r="D27" s="38">
        <f>D28</f>
        <v>0</v>
      </c>
      <c r="E27" s="38">
        <f>E28</f>
        <v>0</v>
      </c>
      <c r="F27" s="39"/>
      <c r="G27" s="35"/>
    </row>
    <row r="28" spans="1:7" ht="14.25" hidden="1" customHeight="1" x14ac:dyDescent="0.2">
      <c r="A28" s="40" t="s">
        <v>218</v>
      </c>
      <c r="B28" s="41" t="s">
        <v>219</v>
      </c>
      <c r="C28" s="42">
        <f>D28+E28</f>
        <v>0</v>
      </c>
      <c r="D28" s="42"/>
      <c r="E28" s="42">
        <v>0</v>
      </c>
      <c r="F28" s="44"/>
      <c r="G28" s="45"/>
    </row>
    <row r="29" spans="1:7" s="30" customFormat="1" ht="31.5" hidden="1" x14ac:dyDescent="0.2">
      <c r="A29" s="36" t="s">
        <v>220</v>
      </c>
      <c r="B29" s="37" t="s">
        <v>221</v>
      </c>
      <c r="C29" s="38">
        <f>C30</f>
        <v>0</v>
      </c>
      <c r="D29" s="38">
        <f>D30</f>
        <v>0</v>
      </c>
      <c r="E29" s="38">
        <f>E30</f>
        <v>0</v>
      </c>
      <c r="F29" s="39"/>
      <c r="G29" s="35"/>
    </row>
    <row r="30" spans="1:7" ht="14.25" hidden="1" customHeight="1" x14ac:dyDescent="0.2">
      <c r="A30" s="40" t="s">
        <v>222</v>
      </c>
      <c r="B30" s="41" t="s">
        <v>219</v>
      </c>
      <c r="C30" s="42">
        <f>D30+E30</f>
        <v>0</v>
      </c>
      <c r="D30" s="42"/>
      <c r="E30" s="42">
        <v>0</v>
      </c>
      <c r="F30" s="44"/>
      <c r="G30" s="45"/>
    </row>
    <row r="31" spans="1:7" ht="31.5" hidden="1" x14ac:dyDescent="0.2">
      <c r="A31" s="40" t="s">
        <v>223</v>
      </c>
      <c r="B31" s="41" t="s">
        <v>224</v>
      </c>
      <c r="C31" s="42">
        <f>D31+E31</f>
        <v>0</v>
      </c>
      <c r="D31" s="42"/>
      <c r="E31" s="42">
        <v>0</v>
      </c>
      <c r="F31" s="44"/>
      <c r="G31" s="45"/>
    </row>
    <row r="32" spans="1:7" s="30" customFormat="1" ht="14.25" hidden="1" customHeight="1" x14ac:dyDescent="0.2">
      <c r="A32" s="36" t="s">
        <v>225</v>
      </c>
      <c r="B32" s="37" t="s">
        <v>226</v>
      </c>
      <c r="C32" s="38">
        <f>C33+C44</f>
        <v>0</v>
      </c>
      <c r="D32" s="38">
        <f>D33+D44</f>
        <v>0</v>
      </c>
      <c r="E32" s="38">
        <f>E33+E44</f>
        <v>0</v>
      </c>
      <c r="F32" s="39"/>
      <c r="G32" s="35"/>
    </row>
    <row r="33" spans="1:7" s="30" customFormat="1" ht="14.25" hidden="1" customHeight="1" x14ac:dyDescent="0.2">
      <c r="A33" s="36" t="s">
        <v>227</v>
      </c>
      <c r="B33" s="37" t="s">
        <v>228</v>
      </c>
      <c r="C33" s="38">
        <f>C34+C35+C36+C37+C38+C39+C40+C41+C42+C43</f>
        <v>0</v>
      </c>
      <c r="D33" s="38">
        <f>D34+D35+D36+D37+D38+D39+D40+D41+D42+D43</f>
        <v>0</v>
      </c>
      <c r="E33" s="38">
        <f>E34+E35+E36+E37+E38+E39+E40+E41+E42+E43</f>
        <v>0</v>
      </c>
      <c r="F33" s="39"/>
      <c r="G33" s="35"/>
    </row>
    <row r="34" spans="1:7" ht="47.25" hidden="1" x14ac:dyDescent="0.2">
      <c r="A34" s="40" t="s">
        <v>229</v>
      </c>
      <c r="B34" s="41" t="s">
        <v>230</v>
      </c>
      <c r="C34" s="42">
        <f t="shared" ref="C34:C47" si="1">D34+E34</f>
        <v>0</v>
      </c>
      <c r="D34" s="42"/>
      <c r="E34" s="42">
        <v>0</v>
      </c>
      <c r="F34" s="44"/>
      <c r="G34" s="45"/>
    </row>
    <row r="35" spans="1:7" ht="47.25" hidden="1" x14ac:dyDescent="0.2">
      <c r="A35" s="40" t="s">
        <v>231</v>
      </c>
      <c r="B35" s="41" t="s">
        <v>232</v>
      </c>
      <c r="C35" s="42">
        <f t="shared" si="1"/>
        <v>0</v>
      </c>
      <c r="D35" s="42"/>
      <c r="E35" s="42">
        <v>0</v>
      </c>
      <c r="F35" s="44"/>
      <c r="G35" s="45"/>
    </row>
    <row r="36" spans="1:7" ht="47.25" hidden="1" x14ac:dyDescent="0.2">
      <c r="A36" s="40" t="s">
        <v>233</v>
      </c>
      <c r="B36" s="41" t="s">
        <v>234</v>
      </c>
      <c r="C36" s="42">
        <f t="shared" si="1"/>
        <v>0</v>
      </c>
      <c r="D36" s="42"/>
      <c r="E36" s="42">
        <v>0</v>
      </c>
      <c r="F36" s="44"/>
      <c r="G36" s="45"/>
    </row>
    <row r="37" spans="1:7" ht="47.25" hidden="1" x14ac:dyDescent="0.2">
      <c r="A37" s="40" t="s">
        <v>235</v>
      </c>
      <c r="B37" s="41" t="s">
        <v>236</v>
      </c>
      <c r="C37" s="42">
        <f t="shared" si="1"/>
        <v>0</v>
      </c>
      <c r="D37" s="42"/>
      <c r="E37" s="42">
        <v>0</v>
      </c>
      <c r="F37" s="44"/>
      <c r="G37" s="45"/>
    </row>
    <row r="38" spans="1:7" ht="14.25" hidden="1" customHeight="1" x14ac:dyDescent="0.2">
      <c r="A38" s="40" t="s">
        <v>237</v>
      </c>
      <c r="B38" s="41" t="s">
        <v>238</v>
      </c>
      <c r="C38" s="42">
        <f t="shared" si="1"/>
        <v>0</v>
      </c>
      <c r="D38" s="42"/>
      <c r="E38" s="42">
        <v>0</v>
      </c>
      <c r="F38" s="44"/>
      <c r="G38" s="45"/>
    </row>
    <row r="39" spans="1:7" ht="14.25" hidden="1" customHeight="1" x14ac:dyDescent="0.2">
      <c r="A39" s="40" t="s">
        <v>239</v>
      </c>
      <c r="B39" s="41" t="s">
        <v>240</v>
      </c>
      <c r="C39" s="42">
        <f t="shared" si="1"/>
        <v>0</v>
      </c>
      <c r="D39" s="42"/>
      <c r="E39" s="42">
        <v>0</v>
      </c>
      <c r="F39" s="44"/>
      <c r="G39" s="45"/>
    </row>
    <row r="40" spans="1:7" ht="14.25" hidden="1" customHeight="1" x14ac:dyDescent="0.2">
      <c r="A40" s="40" t="s">
        <v>241</v>
      </c>
      <c r="B40" s="41" t="s">
        <v>242</v>
      </c>
      <c r="C40" s="42">
        <f t="shared" si="1"/>
        <v>0</v>
      </c>
      <c r="D40" s="42"/>
      <c r="E40" s="42">
        <v>0</v>
      </c>
      <c r="F40" s="44"/>
      <c r="G40" s="45"/>
    </row>
    <row r="41" spans="1:7" ht="14.25" hidden="1" customHeight="1" x14ac:dyDescent="0.2">
      <c r="A41" s="40" t="s">
        <v>243</v>
      </c>
      <c r="B41" s="41" t="s">
        <v>244</v>
      </c>
      <c r="C41" s="42">
        <f t="shared" si="1"/>
        <v>0</v>
      </c>
      <c r="D41" s="42"/>
      <c r="E41" s="42">
        <v>0</v>
      </c>
      <c r="F41" s="44"/>
      <c r="G41" s="45"/>
    </row>
    <row r="42" spans="1:7" ht="14.25" hidden="1" customHeight="1" x14ac:dyDescent="0.2">
      <c r="A42" s="40" t="s">
        <v>245</v>
      </c>
      <c r="B42" s="41" t="s">
        <v>246</v>
      </c>
      <c r="C42" s="42">
        <f t="shared" si="1"/>
        <v>0</v>
      </c>
      <c r="D42" s="42"/>
      <c r="E42" s="42">
        <v>0</v>
      </c>
      <c r="F42" s="44"/>
      <c r="G42" s="45"/>
    </row>
    <row r="43" spans="1:7" ht="14.25" hidden="1" customHeight="1" x14ac:dyDescent="0.2">
      <c r="A43" s="40" t="s">
        <v>247</v>
      </c>
      <c r="B43" s="41" t="s">
        <v>248</v>
      </c>
      <c r="C43" s="42">
        <f t="shared" si="1"/>
        <v>0</v>
      </c>
      <c r="D43" s="42"/>
      <c r="E43" s="42">
        <v>0</v>
      </c>
      <c r="F43" s="44"/>
      <c r="G43" s="45"/>
    </row>
    <row r="44" spans="1:7" s="30" customFormat="1" ht="14.25" hidden="1" customHeight="1" x14ac:dyDescent="0.2">
      <c r="A44" s="36" t="s">
        <v>249</v>
      </c>
      <c r="B44" s="37" t="s">
        <v>250</v>
      </c>
      <c r="C44" s="38">
        <f>C45+C46+C47</f>
        <v>0</v>
      </c>
      <c r="D44" s="38">
        <f>D45+D46+D47</f>
        <v>0</v>
      </c>
      <c r="E44" s="38">
        <f>E45+E46+E47</f>
        <v>0</v>
      </c>
      <c r="F44" s="39"/>
      <c r="G44" s="35"/>
    </row>
    <row r="45" spans="1:7" ht="14.25" hidden="1" customHeight="1" x14ac:dyDescent="0.2">
      <c r="A45" s="40" t="s">
        <v>251</v>
      </c>
      <c r="B45" s="41" t="s">
        <v>252</v>
      </c>
      <c r="C45" s="42">
        <f t="shared" si="1"/>
        <v>0</v>
      </c>
      <c r="D45" s="42"/>
      <c r="E45" s="42">
        <v>0</v>
      </c>
      <c r="F45" s="44"/>
      <c r="G45" s="45"/>
    </row>
    <row r="46" spans="1:7" ht="14.25" hidden="1" customHeight="1" x14ac:dyDescent="0.2">
      <c r="A46" s="40" t="s">
        <v>253</v>
      </c>
      <c r="B46" s="41" t="s">
        <v>254</v>
      </c>
      <c r="C46" s="42">
        <f t="shared" si="1"/>
        <v>0</v>
      </c>
      <c r="D46" s="42"/>
      <c r="E46" s="42">
        <v>0</v>
      </c>
      <c r="F46" s="44"/>
      <c r="G46" s="45"/>
    </row>
    <row r="47" spans="1:7" ht="63" hidden="1" x14ac:dyDescent="0.2">
      <c r="A47" s="40" t="s">
        <v>255</v>
      </c>
      <c r="B47" s="41" t="s">
        <v>256</v>
      </c>
      <c r="C47" s="42">
        <f t="shared" si="1"/>
        <v>0</v>
      </c>
      <c r="D47" s="42"/>
      <c r="E47" s="42">
        <v>0</v>
      </c>
      <c r="F47" s="44"/>
      <c r="G47" s="45"/>
    </row>
    <row r="48" spans="1:7" s="30" customFormat="1" ht="14.25" hidden="1" customHeight="1" x14ac:dyDescent="0.2">
      <c r="A48" s="36" t="s">
        <v>257</v>
      </c>
      <c r="B48" s="37" t="s">
        <v>258</v>
      </c>
      <c r="C48" s="38">
        <f>C49</f>
        <v>0</v>
      </c>
      <c r="D48" s="38">
        <f>D49</f>
        <v>0</v>
      </c>
      <c r="E48" s="38">
        <f>E49</f>
        <v>0</v>
      </c>
      <c r="F48" s="39"/>
      <c r="G48" s="35"/>
    </row>
    <row r="49" spans="1:7" s="30" customFormat="1" ht="14.25" hidden="1" customHeight="1" x14ac:dyDescent="0.2">
      <c r="A49" s="36" t="s">
        <v>259</v>
      </c>
      <c r="B49" s="37" t="s">
        <v>260</v>
      </c>
      <c r="C49" s="38">
        <f>C50+C51+C52</f>
        <v>0</v>
      </c>
      <c r="D49" s="38">
        <f>D50+D51+D52</f>
        <v>0</v>
      </c>
      <c r="E49" s="38">
        <f>E50+E51+E52</f>
        <v>0</v>
      </c>
      <c r="F49" s="39"/>
      <c r="G49" s="35"/>
    </row>
    <row r="50" spans="1:7" ht="63" hidden="1" x14ac:dyDescent="0.2">
      <c r="A50" s="40" t="s">
        <v>261</v>
      </c>
      <c r="B50" s="41" t="s">
        <v>262</v>
      </c>
      <c r="C50" s="42">
        <f>D50+E50</f>
        <v>0</v>
      </c>
      <c r="D50" s="42">
        <v>0</v>
      </c>
      <c r="E50" s="42"/>
      <c r="F50" s="44"/>
      <c r="G50" s="45"/>
    </row>
    <row r="51" spans="1:7" ht="31.5" hidden="1" x14ac:dyDescent="0.2">
      <c r="A51" s="40" t="s">
        <v>263</v>
      </c>
      <c r="B51" s="41" t="s">
        <v>264</v>
      </c>
      <c r="C51" s="42">
        <f>D51+E51</f>
        <v>0</v>
      </c>
      <c r="D51" s="42">
        <v>0</v>
      </c>
      <c r="E51" s="42"/>
      <c r="F51" s="44"/>
      <c r="G51" s="45"/>
    </row>
    <row r="52" spans="1:7" ht="56.25" hidden="1" customHeight="1" thickBot="1" x14ac:dyDescent="0.25">
      <c r="A52" s="47" t="s">
        <v>265</v>
      </c>
      <c r="B52" s="48" t="s">
        <v>266</v>
      </c>
      <c r="C52" s="49">
        <f>D52+E52</f>
        <v>0</v>
      </c>
      <c r="D52" s="49">
        <v>0</v>
      </c>
      <c r="E52" s="49"/>
      <c r="F52" s="50"/>
      <c r="G52" s="45"/>
    </row>
    <row r="53" spans="1:7" s="30" customFormat="1" ht="14.25" hidden="1" customHeight="1" thickBot="1" x14ac:dyDescent="0.25">
      <c r="A53" s="24" t="s">
        <v>267</v>
      </c>
      <c r="B53" s="25" t="s">
        <v>268</v>
      </c>
      <c r="C53" s="26">
        <f>C54+C58+C66</f>
        <v>0</v>
      </c>
      <c r="D53" s="26">
        <f>D54+D58+D66</f>
        <v>0</v>
      </c>
      <c r="E53" s="26">
        <f>E54+E58+E66</f>
        <v>0</v>
      </c>
      <c r="F53" s="27">
        <f>F54+F58+F66</f>
        <v>0</v>
      </c>
      <c r="G53" s="35"/>
    </row>
    <row r="54" spans="1:7" s="30" customFormat="1" ht="14.25" hidden="1" customHeight="1" x14ac:dyDescent="0.2">
      <c r="A54" s="31" t="s">
        <v>269</v>
      </c>
      <c r="B54" s="32" t="s">
        <v>270</v>
      </c>
      <c r="C54" s="33">
        <f>C55</f>
        <v>0</v>
      </c>
      <c r="D54" s="33">
        <f>D55</f>
        <v>0</v>
      </c>
      <c r="E54" s="33">
        <f>E55</f>
        <v>0</v>
      </c>
      <c r="F54" s="34"/>
      <c r="G54" s="35"/>
    </row>
    <row r="55" spans="1:7" s="30" customFormat="1" ht="14.25" hidden="1" customHeight="1" x14ac:dyDescent="0.2">
      <c r="A55" s="36" t="s">
        <v>271</v>
      </c>
      <c r="B55" s="37" t="s">
        <v>272</v>
      </c>
      <c r="C55" s="38">
        <f>C56+C57</f>
        <v>0</v>
      </c>
      <c r="D55" s="38">
        <f>D56+D57</f>
        <v>0</v>
      </c>
      <c r="E55" s="38">
        <f>E56+E57</f>
        <v>0</v>
      </c>
      <c r="F55" s="39"/>
      <c r="G55" s="35"/>
    </row>
    <row r="56" spans="1:7" ht="14.25" hidden="1" customHeight="1" x14ac:dyDescent="0.2">
      <c r="A56" s="40" t="s">
        <v>273</v>
      </c>
      <c r="B56" s="41" t="s">
        <v>274</v>
      </c>
      <c r="C56" s="42">
        <f>D56+E56</f>
        <v>0</v>
      </c>
      <c r="D56" s="42"/>
      <c r="E56" s="42">
        <v>0</v>
      </c>
      <c r="F56" s="44"/>
      <c r="G56" s="45"/>
    </row>
    <row r="57" spans="1:7" ht="47.25" hidden="1" x14ac:dyDescent="0.2">
      <c r="A57" s="40" t="s">
        <v>275</v>
      </c>
      <c r="B57" s="41" t="s">
        <v>276</v>
      </c>
      <c r="C57" s="42">
        <f>D57+E57</f>
        <v>0</v>
      </c>
      <c r="D57" s="42"/>
      <c r="E57" s="42">
        <v>0</v>
      </c>
      <c r="F57" s="44"/>
      <c r="G57" s="45"/>
    </row>
    <row r="58" spans="1:7" s="30" customFormat="1" ht="31.5" hidden="1" x14ac:dyDescent="0.2">
      <c r="A58" s="36" t="s">
        <v>277</v>
      </c>
      <c r="B58" s="37" t="s">
        <v>278</v>
      </c>
      <c r="C58" s="38">
        <f>C59+C63</f>
        <v>0</v>
      </c>
      <c r="D58" s="38">
        <f>D59+D63</f>
        <v>0</v>
      </c>
      <c r="E58" s="38">
        <f>E59+E63</f>
        <v>0</v>
      </c>
      <c r="F58" s="39"/>
      <c r="G58" s="35"/>
    </row>
    <row r="59" spans="1:7" s="30" customFormat="1" ht="14.25" hidden="1" customHeight="1" x14ac:dyDescent="0.2">
      <c r="A59" s="36" t="s">
        <v>279</v>
      </c>
      <c r="B59" s="37" t="s">
        <v>280</v>
      </c>
      <c r="C59" s="38">
        <f>C60+C61+C62</f>
        <v>0</v>
      </c>
      <c r="D59" s="38">
        <f>D60+D61+D62</f>
        <v>0</v>
      </c>
      <c r="E59" s="38">
        <f>E60+E61+E62</f>
        <v>0</v>
      </c>
      <c r="F59" s="39"/>
      <c r="G59" s="35"/>
    </row>
    <row r="60" spans="1:7" ht="47.25" hidden="1" x14ac:dyDescent="0.2">
      <c r="A60" s="40" t="s">
        <v>281</v>
      </c>
      <c r="B60" s="41" t="s">
        <v>282</v>
      </c>
      <c r="C60" s="42">
        <f t="shared" ref="C60:C71" si="2">D60+E60</f>
        <v>0</v>
      </c>
      <c r="D60" s="42"/>
      <c r="E60" s="42">
        <v>0</v>
      </c>
      <c r="F60" s="44"/>
      <c r="G60" s="45"/>
    </row>
    <row r="61" spans="1:7" ht="14.25" hidden="1" customHeight="1" x14ac:dyDescent="0.2">
      <c r="A61" s="40" t="s">
        <v>283</v>
      </c>
      <c r="B61" s="41" t="s">
        <v>284</v>
      </c>
      <c r="C61" s="42">
        <f t="shared" si="2"/>
        <v>0</v>
      </c>
      <c r="D61" s="42"/>
      <c r="E61" s="42">
        <v>0</v>
      </c>
      <c r="F61" s="44"/>
      <c r="G61" s="45"/>
    </row>
    <row r="62" spans="1:7" ht="31.5" hidden="1" x14ac:dyDescent="0.2">
      <c r="A62" s="40" t="s">
        <v>285</v>
      </c>
      <c r="B62" s="41" t="s">
        <v>286</v>
      </c>
      <c r="C62" s="42">
        <f t="shared" si="2"/>
        <v>0</v>
      </c>
      <c r="D62" s="42"/>
      <c r="E62" s="42">
        <v>0</v>
      </c>
      <c r="F62" s="44"/>
      <c r="G62" s="45"/>
    </row>
    <row r="63" spans="1:7" s="30" customFormat="1" ht="14.25" hidden="1" customHeight="1" x14ac:dyDescent="0.2">
      <c r="A63" s="36" t="s">
        <v>287</v>
      </c>
      <c r="B63" s="37" t="s">
        <v>288</v>
      </c>
      <c r="C63" s="38">
        <f>C64+C65</f>
        <v>0</v>
      </c>
      <c r="D63" s="38">
        <f>D64+D65</f>
        <v>0</v>
      </c>
      <c r="E63" s="38">
        <f>E64+E65</f>
        <v>0</v>
      </c>
      <c r="F63" s="39"/>
      <c r="G63" s="35"/>
    </row>
    <row r="64" spans="1:7" ht="47.25" hidden="1" x14ac:dyDescent="0.2">
      <c r="A64" s="40" t="s">
        <v>289</v>
      </c>
      <c r="B64" s="41" t="s">
        <v>290</v>
      </c>
      <c r="C64" s="42">
        <f t="shared" si="2"/>
        <v>0</v>
      </c>
      <c r="D64" s="42"/>
      <c r="E64" s="42">
        <v>0</v>
      </c>
      <c r="F64" s="44"/>
      <c r="G64" s="45"/>
    </row>
    <row r="65" spans="1:12" ht="14.25" hidden="1" customHeight="1" x14ac:dyDescent="0.2">
      <c r="A65" s="40" t="s">
        <v>291</v>
      </c>
      <c r="B65" s="41" t="s">
        <v>292</v>
      </c>
      <c r="C65" s="42">
        <f t="shared" si="2"/>
        <v>0</v>
      </c>
      <c r="D65" s="42"/>
      <c r="E65" s="42">
        <v>0</v>
      </c>
      <c r="F65" s="44"/>
      <c r="G65" s="45"/>
    </row>
    <row r="66" spans="1:12" s="30" customFormat="1" ht="14.25" hidden="1" customHeight="1" x14ac:dyDescent="0.2">
      <c r="A66" s="36" t="s">
        <v>293</v>
      </c>
      <c r="B66" s="37" t="s">
        <v>294</v>
      </c>
      <c r="C66" s="42">
        <f t="shared" si="2"/>
        <v>0</v>
      </c>
      <c r="D66" s="38">
        <f>D67</f>
        <v>0</v>
      </c>
      <c r="E66" s="38">
        <f>E67</f>
        <v>0</v>
      </c>
      <c r="F66" s="39"/>
      <c r="G66" s="35"/>
      <c r="H66" s="30">
        <v>250101</v>
      </c>
      <c r="I66" s="30">
        <v>250103</v>
      </c>
      <c r="J66" s="30" t="s">
        <v>295</v>
      </c>
    </row>
    <row r="67" spans="1:12" s="30" customFormat="1" ht="31.5" hidden="1" x14ac:dyDescent="0.2">
      <c r="A67" s="36" t="s">
        <v>296</v>
      </c>
      <c r="B67" s="37" t="s">
        <v>297</v>
      </c>
      <c r="C67" s="42">
        <f t="shared" si="2"/>
        <v>0</v>
      </c>
      <c r="D67" s="38">
        <f>D68+D69</f>
        <v>0</v>
      </c>
      <c r="E67" s="38">
        <f>E68+E69</f>
        <v>0</v>
      </c>
      <c r="F67" s="39"/>
      <c r="G67" s="45" t="s">
        <v>298</v>
      </c>
      <c r="H67" s="46">
        <f>116523+12800+1200</f>
        <v>130523</v>
      </c>
      <c r="I67" s="46"/>
      <c r="J67" s="46">
        <f>H67+I67</f>
        <v>130523</v>
      </c>
    </row>
    <row r="68" spans="1:12" ht="31.5" hidden="1" x14ac:dyDescent="0.2">
      <c r="A68" s="40" t="s">
        <v>299</v>
      </c>
      <c r="B68" s="41" t="s">
        <v>300</v>
      </c>
      <c r="C68" s="42">
        <f t="shared" si="2"/>
        <v>0</v>
      </c>
      <c r="D68" s="51">
        <v>0</v>
      </c>
      <c r="E68" s="51"/>
      <c r="F68" s="44"/>
      <c r="G68" s="45" t="s">
        <v>301</v>
      </c>
      <c r="H68" s="46">
        <v>60000</v>
      </c>
      <c r="J68" s="46">
        <f>H68+I68</f>
        <v>60000</v>
      </c>
      <c r="L68" s="46" t="s">
        <v>302</v>
      </c>
    </row>
    <row r="69" spans="1:12" ht="51" hidden="1" customHeight="1" thickBot="1" x14ac:dyDescent="0.25">
      <c r="A69" s="47" t="s">
        <v>303</v>
      </c>
      <c r="B69" s="48" t="s">
        <v>304</v>
      </c>
      <c r="C69" s="49">
        <f t="shared" si="2"/>
        <v>0</v>
      </c>
      <c r="D69" s="52">
        <v>0</v>
      </c>
      <c r="E69" s="49"/>
      <c r="F69" s="50"/>
      <c r="G69" s="35" t="s">
        <v>305</v>
      </c>
      <c r="H69" s="30">
        <v>1238870</v>
      </c>
      <c r="I69" s="30">
        <v>34104</v>
      </c>
      <c r="J69" s="46">
        <f>H69+I69</f>
        <v>1272974</v>
      </c>
      <c r="L69" s="46" t="s">
        <v>306</v>
      </c>
    </row>
    <row r="70" spans="1:12" s="30" customFormat="1" ht="14.25" hidden="1" customHeight="1" thickBot="1" x14ac:dyDescent="0.25">
      <c r="A70" s="24" t="s">
        <v>307</v>
      </c>
      <c r="B70" s="25" t="s">
        <v>308</v>
      </c>
      <c r="C70" s="53">
        <f t="shared" si="2"/>
        <v>0</v>
      </c>
      <c r="D70" s="26">
        <f>D71+D74</f>
        <v>0</v>
      </c>
      <c r="E70" s="26">
        <f>E71+E74</f>
        <v>0</v>
      </c>
      <c r="F70" s="27">
        <f>F71+F74</f>
        <v>0</v>
      </c>
      <c r="G70" s="35" t="s">
        <v>295</v>
      </c>
      <c r="H70" s="30">
        <f>SUM(H67:H69)</f>
        <v>1429393</v>
      </c>
      <c r="I70" s="30">
        <f>SUM(I67:I69)</f>
        <v>34104</v>
      </c>
      <c r="J70" s="30">
        <f>SUM(J67:J69)</f>
        <v>1463497</v>
      </c>
    </row>
    <row r="71" spans="1:12" s="30" customFormat="1" ht="14.25" hidden="1" customHeight="1" x14ac:dyDescent="0.2">
      <c r="A71" s="31" t="s">
        <v>309</v>
      </c>
      <c r="B71" s="32" t="s">
        <v>310</v>
      </c>
      <c r="C71" s="54">
        <f t="shared" si="2"/>
        <v>0</v>
      </c>
      <c r="D71" s="33">
        <f t="shared" ref="D71:F72" si="3">D72</f>
        <v>0</v>
      </c>
      <c r="E71" s="33">
        <f t="shared" si="3"/>
        <v>0</v>
      </c>
      <c r="F71" s="34">
        <f t="shared" si="3"/>
        <v>0</v>
      </c>
      <c r="G71" s="35"/>
    </row>
    <row r="72" spans="1:12" s="30" customFormat="1" ht="78.75" hidden="1" x14ac:dyDescent="0.2">
      <c r="A72" s="36" t="s">
        <v>311</v>
      </c>
      <c r="B72" s="37" t="s">
        <v>312</v>
      </c>
      <c r="C72" s="38">
        <f>C73</f>
        <v>0</v>
      </c>
      <c r="D72" s="38">
        <f t="shared" si="3"/>
        <v>0</v>
      </c>
      <c r="E72" s="38">
        <f t="shared" si="3"/>
        <v>0</v>
      </c>
      <c r="F72" s="39">
        <f t="shared" si="3"/>
        <v>0</v>
      </c>
      <c r="G72" s="35"/>
    </row>
    <row r="73" spans="1:12" ht="61.5" hidden="1" customHeight="1" x14ac:dyDescent="0.2">
      <c r="A73" s="40" t="s">
        <v>313</v>
      </c>
      <c r="B73" s="41" t="s">
        <v>314</v>
      </c>
      <c r="C73" s="42">
        <f>D73+E73</f>
        <v>0</v>
      </c>
      <c r="D73" s="42"/>
      <c r="E73" s="42">
        <v>0</v>
      </c>
      <c r="F73" s="44"/>
      <c r="G73" s="45"/>
    </row>
    <row r="74" spans="1:12" s="30" customFormat="1" ht="14.25" hidden="1" customHeight="1" x14ac:dyDescent="0.2">
      <c r="A74" s="36" t="s">
        <v>315</v>
      </c>
      <c r="B74" s="37" t="s">
        <v>316</v>
      </c>
      <c r="C74" s="38">
        <f>C75</f>
        <v>0</v>
      </c>
      <c r="D74" s="38">
        <f t="shared" ref="D74:F75" si="4">D75</f>
        <v>0</v>
      </c>
      <c r="E74" s="38">
        <f t="shared" si="4"/>
        <v>0</v>
      </c>
      <c r="F74" s="39">
        <f t="shared" si="4"/>
        <v>0</v>
      </c>
      <c r="G74" s="35"/>
    </row>
    <row r="75" spans="1:12" s="30" customFormat="1" ht="17.25" hidden="1" customHeight="1" x14ac:dyDescent="0.2">
      <c r="A75" s="36" t="s">
        <v>317</v>
      </c>
      <c r="B75" s="37" t="s">
        <v>318</v>
      </c>
      <c r="C75" s="38">
        <f>C76</f>
        <v>0</v>
      </c>
      <c r="D75" s="38">
        <f t="shared" si="4"/>
        <v>0</v>
      </c>
      <c r="E75" s="38">
        <f t="shared" si="4"/>
        <v>0</v>
      </c>
      <c r="F75" s="39">
        <f t="shared" si="4"/>
        <v>0</v>
      </c>
      <c r="G75" s="35"/>
    </row>
    <row r="76" spans="1:12" ht="78.75" hidden="1" x14ac:dyDescent="0.2">
      <c r="A76" s="40" t="s">
        <v>319</v>
      </c>
      <c r="B76" s="41" t="s">
        <v>320</v>
      </c>
      <c r="C76" s="42">
        <f>D76+E76</f>
        <v>0</v>
      </c>
      <c r="D76" s="42">
        <v>0</v>
      </c>
      <c r="E76" s="51"/>
      <c r="F76" s="55"/>
      <c r="G76" s="45"/>
    </row>
    <row r="77" spans="1:12" ht="16.5" hidden="1" thickBot="1" x14ac:dyDescent="0.25">
      <c r="A77" s="47"/>
      <c r="B77" s="56" t="s">
        <v>321</v>
      </c>
      <c r="C77" s="57">
        <f>C11+C53+C70</f>
        <v>0</v>
      </c>
      <c r="D77" s="57">
        <f>D11+D53+D70</f>
        <v>0</v>
      </c>
      <c r="E77" s="57">
        <f>E11+E53+E70</f>
        <v>0</v>
      </c>
      <c r="F77" s="58">
        <f>F11+F53+F70</f>
        <v>0</v>
      </c>
      <c r="G77" s="45"/>
    </row>
    <row r="78" spans="1:12" s="64" customFormat="1" ht="14.25" customHeight="1" thickBot="1" x14ac:dyDescent="0.25">
      <c r="A78" s="59" t="s">
        <v>322</v>
      </c>
      <c r="B78" s="60" t="s">
        <v>323</v>
      </c>
      <c r="C78" s="61">
        <f>C79</f>
        <v>103000</v>
      </c>
      <c r="D78" s="61">
        <f>D79</f>
        <v>103000</v>
      </c>
      <c r="E78" s="61">
        <f>E79</f>
        <v>0</v>
      </c>
      <c r="F78" s="62"/>
      <c r="G78" s="63"/>
    </row>
    <row r="79" spans="1:12" s="64" customFormat="1" ht="18.75" customHeight="1" x14ac:dyDescent="0.2">
      <c r="A79" s="65" t="s">
        <v>324</v>
      </c>
      <c r="B79" s="66" t="s">
        <v>325</v>
      </c>
      <c r="C79" s="67">
        <f>C80+C85+C87</f>
        <v>103000</v>
      </c>
      <c r="D79" s="67">
        <f>D80+D85+D87</f>
        <v>103000</v>
      </c>
      <c r="E79" s="67">
        <f>E80+E85+E87</f>
        <v>0</v>
      </c>
      <c r="F79" s="68"/>
      <c r="G79" s="69"/>
    </row>
    <row r="80" spans="1:12" s="64" customFormat="1" ht="31.5" hidden="1" x14ac:dyDescent="0.2">
      <c r="A80" s="70" t="s">
        <v>326</v>
      </c>
      <c r="B80" s="71" t="s">
        <v>327</v>
      </c>
      <c r="C80" s="72">
        <f>C82+C83+C84</f>
        <v>0</v>
      </c>
      <c r="D80" s="72">
        <f>D82+D83+D84</f>
        <v>0</v>
      </c>
      <c r="E80" s="72">
        <f>E82+E83+E84</f>
        <v>0</v>
      </c>
      <c r="F80" s="72">
        <f>F82+F83+F84</f>
        <v>0</v>
      </c>
      <c r="G80" s="69"/>
    </row>
    <row r="81" spans="1:15" s="64" customFormat="1" ht="47.25" hidden="1" x14ac:dyDescent="0.2">
      <c r="A81" s="74">
        <v>41033700</v>
      </c>
      <c r="B81" s="75" t="s">
        <v>328</v>
      </c>
      <c r="C81" s="42">
        <f t="shared" ref="C81:C95" si="5">D81+E81</f>
        <v>0</v>
      </c>
      <c r="D81" s="76"/>
      <c r="E81" s="72"/>
      <c r="F81" s="73"/>
      <c r="G81" s="69"/>
    </row>
    <row r="82" spans="1:15" s="79" customFormat="1" ht="14.25" hidden="1" customHeight="1" x14ac:dyDescent="0.2">
      <c r="A82" s="74" t="s">
        <v>329</v>
      </c>
      <c r="B82" s="75" t="s">
        <v>330</v>
      </c>
      <c r="C82" s="42">
        <f t="shared" si="5"/>
        <v>0</v>
      </c>
      <c r="D82" s="76"/>
      <c r="E82" s="76">
        <v>0</v>
      </c>
      <c r="F82" s="77"/>
      <c r="G82" s="78"/>
    </row>
    <row r="83" spans="1:15" s="79" customFormat="1" ht="31.5" hidden="1" x14ac:dyDescent="0.2">
      <c r="A83" s="74" t="s">
        <v>331</v>
      </c>
      <c r="B83" s="75" t="s">
        <v>332</v>
      </c>
      <c r="C83" s="42">
        <f t="shared" si="5"/>
        <v>0</v>
      </c>
      <c r="D83" s="740"/>
      <c r="E83" s="76">
        <v>0</v>
      </c>
      <c r="F83" s="77"/>
      <c r="G83" s="80"/>
    </row>
    <row r="84" spans="1:15" s="79" customFormat="1" ht="72.599999999999994" hidden="1" customHeight="1" x14ac:dyDescent="0.2">
      <c r="A84" s="74">
        <v>41035500</v>
      </c>
      <c r="B84" s="75" t="s">
        <v>869</v>
      </c>
      <c r="C84" s="42">
        <f t="shared" si="5"/>
        <v>0</v>
      </c>
      <c r="D84" s="740"/>
      <c r="E84" s="76"/>
      <c r="F84" s="77"/>
      <c r="G84" s="80"/>
    </row>
    <row r="85" spans="1:15" s="64" customFormat="1" ht="23.85" hidden="1" customHeight="1" x14ac:dyDescent="0.2">
      <c r="A85" s="70">
        <v>41040000</v>
      </c>
      <c r="B85" s="71" t="s">
        <v>333</v>
      </c>
      <c r="C85" s="72">
        <f>C86</f>
        <v>0</v>
      </c>
      <c r="D85" s="72">
        <f>D86</f>
        <v>0</v>
      </c>
      <c r="E85" s="72">
        <f>E86</f>
        <v>0</v>
      </c>
      <c r="F85" s="73"/>
      <c r="G85" s="69"/>
    </row>
    <row r="86" spans="1:15" s="79" customFormat="1" ht="63" hidden="1" x14ac:dyDescent="0.2">
      <c r="A86" s="74">
        <v>41040200</v>
      </c>
      <c r="B86" s="75" t="s">
        <v>334</v>
      </c>
      <c r="C86" s="42">
        <f t="shared" si="5"/>
        <v>0</v>
      </c>
      <c r="D86" s="81"/>
      <c r="E86" s="76">
        <v>0</v>
      </c>
      <c r="F86" s="77"/>
      <c r="G86" s="80"/>
      <c r="O86" s="82" t="s">
        <v>335</v>
      </c>
    </row>
    <row r="87" spans="1:15" s="64" customFormat="1" ht="31.5" x14ac:dyDescent="0.2">
      <c r="A87" s="571">
        <v>41050000</v>
      </c>
      <c r="B87" s="71" t="s">
        <v>336</v>
      </c>
      <c r="C87" s="72">
        <f t="shared" ref="C87" si="6">C95+C88+C90+C93+C91+C94</f>
        <v>103000</v>
      </c>
      <c r="D87" s="72">
        <f>D95+D88+D90+D93+D91+D94</f>
        <v>103000</v>
      </c>
      <c r="E87" s="72">
        <f t="shared" ref="E87:F87" si="7">E95+E88+E90+E93+E91+E94</f>
        <v>0</v>
      </c>
      <c r="F87" s="72">
        <f t="shared" si="7"/>
        <v>0</v>
      </c>
      <c r="G87" s="69"/>
      <c r="O87" s="83"/>
    </row>
    <row r="88" spans="1:15" s="64" customFormat="1" ht="47.25" hidden="1" x14ac:dyDescent="0.2">
      <c r="A88" s="572">
        <v>41051000</v>
      </c>
      <c r="B88" s="75" t="s">
        <v>337</v>
      </c>
      <c r="C88" s="42">
        <f t="shared" si="5"/>
        <v>0</v>
      </c>
      <c r="D88" s="76"/>
      <c r="E88" s="72"/>
      <c r="F88" s="73"/>
      <c r="G88" s="69"/>
      <c r="O88" s="82"/>
    </row>
    <row r="89" spans="1:15" s="64" customFormat="1" ht="47.25" hidden="1" x14ac:dyDescent="0.25">
      <c r="A89" s="573">
        <v>41051100</v>
      </c>
      <c r="B89" s="84" t="s">
        <v>338</v>
      </c>
      <c r="C89" s="42">
        <f t="shared" si="5"/>
        <v>0</v>
      </c>
      <c r="D89" s="76"/>
      <c r="E89" s="72"/>
      <c r="F89" s="73"/>
      <c r="G89" s="69"/>
      <c r="O89" s="82"/>
    </row>
    <row r="90" spans="1:15" s="64" customFormat="1" ht="47.25" hidden="1" x14ac:dyDescent="0.2">
      <c r="A90" s="572">
        <v>41051200</v>
      </c>
      <c r="B90" s="75" t="s">
        <v>339</v>
      </c>
      <c r="C90" s="42">
        <f t="shared" si="5"/>
        <v>0</v>
      </c>
      <c r="D90" s="76"/>
      <c r="E90" s="72"/>
      <c r="F90" s="73"/>
      <c r="G90" s="69"/>
      <c r="O90" s="82"/>
    </row>
    <row r="91" spans="1:15" s="64" customFormat="1" ht="63" hidden="1" x14ac:dyDescent="0.25">
      <c r="A91" s="572">
        <v>41051400</v>
      </c>
      <c r="B91" s="84" t="s">
        <v>340</v>
      </c>
      <c r="C91" s="42">
        <f t="shared" si="5"/>
        <v>0</v>
      </c>
      <c r="D91" s="76"/>
      <c r="E91" s="72"/>
      <c r="F91" s="73"/>
      <c r="G91" s="69"/>
      <c r="O91" s="82"/>
    </row>
    <row r="92" spans="1:15" s="64" customFormat="1" ht="63" hidden="1" x14ac:dyDescent="0.25">
      <c r="A92" s="573">
        <v>41051700</v>
      </c>
      <c r="B92" s="84" t="s">
        <v>341</v>
      </c>
      <c r="C92" s="42">
        <f t="shared" si="5"/>
        <v>0</v>
      </c>
      <c r="D92" s="76"/>
      <c r="E92" s="72"/>
      <c r="F92" s="73"/>
      <c r="G92" s="69"/>
      <c r="O92" s="82"/>
    </row>
    <row r="93" spans="1:15" s="64" customFormat="1" ht="15.75" x14ac:dyDescent="0.2">
      <c r="A93" s="572">
        <v>41053900</v>
      </c>
      <c r="B93" s="75" t="s">
        <v>342</v>
      </c>
      <c r="C93" s="42">
        <f>D93+E93</f>
        <v>103000</v>
      </c>
      <c r="D93" s="76">
        <v>103000</v>
      </c>
      <c r="E93" s="73"/>
      <c r="F93" s="73"/>
      <c r="G93" s="69"/>
      <c r="O93" s="82"/>
    </row>
    <row r="94" spans="1:15" s="64" customFormat="1" ht="47.25" hidden="1" x14ac:dyDescent="0.2">
      <c r="A94" s="572">
        <v>41054900</v>
      </c>
      <c r="B94" s="75" t="s">
        <v>945</v>
      </c>
      <c r="C94" s="806">
        <f>D94+E94</f>
        <v>0</v>
      </c>
      <c r="D94" s="740"/>
      <c r="E94" s="804"/>
      <c r="F94" s="73"/>
      <c r="G94" s="69"/>
      <c r="O94" s="82"/>
    </row>
    <row r="95" spans="1:15" s="79" customFormat="1" ht="57" hidden="1" customHeight="1" x14ac:dyDescent="0.2">
      <c r="A95" s="74">
        <v>41055000</v>
      </c>
      <c r="B95" s="75" t="s">
        <v>343</v>
      </c>
      <c r="C95" s="42">
        <f t="shared" si="5"/>
        <v>0</v>
      </c>
      <c r="D95" s="76"/>
      <c r="E95" s="76">
        <v>0</v>
      </c>
      <c r="F95" s="77"/>
      <c r="G95" s="80"/>
      <c r="O95" s="82" t="s">
        <v>335</v>
      </c>
    </row>
    <row r="96" spans="1:15" s="30" customFormat="1" ht="1.5" customHeight="1" thickBot="1" x14ac:dyDescent="0.25">
      <c r="A96" s="85" t="s">
        <v>344</v>
      </c>
      <c r="B96" s="56"/>
      <c r="C96" s="57"/>
      <c r="D96" s="57"/>
      <c r="E96" s="57"/>
      <c r="F96" s="58"/>
      <c r="G96" s="35"/>
    </row>
    <row r="97" spans="1:11" s="30" customFormat="1" ht="17.25" customHeight="1" thickBot="1" x14ac:dyDescent="0.25">
      <c r="A97" s="86" t="s">
        <v>345</v>
      </c>
      <c r="B97" s="25" t="s">
        <v>346</v>
      </c>
      <c r="C97" s="26">
        <f>C77+C78</f>
        <v>103000</v>
      </c>
      <c r="D97" s="26">
        <f>D77+D78</f>
        <v>103000</v>
      </c>
      <c r="E97" s="26">
        <f>E77+E78</f>
        <v>0</v>
      </c>
      <c r="F97" s="27">
        <f>F77+F78</f>
        <v>0</v>
      </c>
      <c r="G97" s="35"/>
    </row>
    <row r="98" spans="1:11" x14ac:dyDescent="0.2">
      <c r="A98" s="45"/>
      <c r="B98" s="87"/>
      <c r="C98" s="45"/>
      <c r="D98" s="45"/>
      <c r="E98" s="45"/>
      <c r="F98" s="45"/>
      <c r="G98" s="45"/>
    </row>
    <row r="99" spans="1:11" s="89" customFormat="1" ht="15.75" customHeight="1" x14ac:dyDescent="0.2">
      <c r="A99" s="88"/>
      <c r="B99" s="839"/>
      <c r="C99" s="840"/>
      <c r="D99" s="840"/>
      <c r="E99" s="840"/>
      <c r="F99" s="840"/>
      <c r="G99" s="840"/>
      <c r="K99" s="90"/>
    </row>
    <row r="100" spans="1:11" ht="15.75" x14ac:dyDescent="0.25">
      <c r="A100" s="9"/>
      <c r="B100" s="585"/>
      <c r="C100" s="9"/>
      <c r="D100" s="9"/>
      <c r="E100" s="9"/>
      <c r="F100" s="9"/>
      <c r="G100" s="45"/>
      <c r="K100" s="91"/>
    </row>
    <row r="101" spans="1:11" ht="15.75" x14ac:dyDescent="0.25">
      <c r="A101" s="9"/>
      <c r="B101" s="585" t="s">
        <v>690</v>
      </c>
      <c r="C101" s="9"/>
      <c r="D101" s="9"/>
      <c r="E101" s="9" t="s">
        <v>691</v>
      </c>
      <c r="F101" s="9"/>
    </row>
  </sheetData>
  <mergeCells count="9">
    <mergeCell ref="C3:E3"/>
    <mergeCell ref="B99:G99"/>
    <mergeCell ref="A4:F4"/>
    <mergeCell ref="A5:F5"/>
    <mergeCell ref="A8:A9"/>
    <mergeCell ref="B8:B9"/>
    <mergeCell ref="C8:C9"/>
    <mergeCell ref="D8:D9"/>
    <mergeCell ref="E8:F8"/>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topLeftCell="A44" zoomScale="96" zoomScaleNormal="96" workbookViewId="0">
      <selection activeCell="C53" sqref="C53:C54"/>
    </sheetView>
  </sheetViews>
  <sheetFormatPr defaultRowHeight="12.75" x14ac:dyDescent="0.2"/>
  <cols>
    <col min="1" max="1" width="11.5703125" style="102" customWidth="1"/>
    <col min="2" max="2" width="45.7109375" style="171" customWidth="1"/>
    <col min="3" max="3" width="21.140625" style="114" customWidth="1"/>
    <col min="4" max="4" width="18.85546875" style="102" customWidth="1"/>
    <col min="5" max="5" width="16.5703125" style="102" customWidth="1"/>
    <col min="6" max="6" width="17.140625" style="102" customWidth="1"/>
    <col min="7" max="7" width="14.42578125" style="102" hidden="1" customWidth="1"/>
    <col min="8" max="8" width="36.28515625" style="102" customWidth="1"/>
    <col min="9" max="256" width="8.85546875" style="102"/>
    <col min="257" max="257" width="11.5703125" style="102" customWidth="1"/>
    <col min="258" max="258" width="45.7109375" style="102" customWidth="1"/>
    <col min="259" max="259" width="15.5703125" style="102" customWidth="1"/>
    <col min="260" max="260" width="17.85546875" style="102" customWidth="1"/>
    <col min="261" max="261" width="16.5703125" style="102" customWidth="1"/>
    <col min="262" max="262" width="17.140625" style="102" customWidth="1"/>
    <col min="263" max="263" width="14.42578125" style="102" customWidth="1"/>
    <col min="264" max="264" width="36.28515625" style="102" customWidth="1"/>
    <col min="265" max="512" width="8.85546875" style="102"/>
    <col min="513" max="513" width="11.5703125" style="102" customWidth="1"/>
    <col min="514" max="514" width="45.7109375" style="102" customWidth="1"/>
    <col min="515" max="515" width="15.5703125" style="102" customWidth="1"/>
    <col min="516" max="516" width="17.85546875" style="102" customWidth="1"/>
    <col min="517" max="517" width="16.5703125" style="102" customWidth="1"/>
    <col min="518" max="518" width="17.140625" style="102" customWidth="1"/>
    <col min="519" max="519" width="14.42578125" style="102" customWidth="1"/>
    <col min="520" max="520" width="36.28515625" style="102" customWidth="1"/>
    <col min="521" max="768" width="8.85546875" style="102"/>
    <col min="769" max="769" width="11.5703125" style="102" customWidth="1"/>
    <col min="770" max="770" width="45.7109375" style="102" customWidth="1"/>
    <col min="771" max="771" width="15.5703125" style="102" customWidth="1"/>
    <col min="772" max="772" width="17.85546875" style="102" customWidth="1"/>
    <col min="773" max="773" width="16.5703125" style="102" customWidth="1"/>
    <col min="774" max="774" width="17.140625" style="102" customWidth="1"/>
    <col min="775" max="775" width="14.42578125" style="102" customWidth="1"/>
    <col min="776" max="776" width="36.28515625" style="102" customWidth="1"/>
    <col min="777" max="1024" width="8.85546875" style="102"/>
    <col min="1025" max="1025" width="11.5703125" style="102" customWidth="1"/>
    <col min="1026" max="1026" width="45.7109375" style="102" customWidth="1"/>
    <col min="1027" max="1027" width="15.5703125" style="102" customWidth="1"/>
    <col min="1028" max="1028" width="17.85546875" style="102" customWidth="1"/>
    <col min="1029" max="1029" width="16.5703125" style="102" customWidth="1"/>
    <col min="1030" max="1030" width="17.140625" style="102" customWidth="1"/>
    <col min="1031" max="1031" width="14.42578125" style="102" customWidth="1"/>
    <col min="1032" max="1032" width="36.28515625" style="102" customWidth="1"/>
    <col min="1033" max="1280" width="8.85546875" style="102"/>
    <col min="1281" max="1281" width="11.5703125" style="102" customWidth="1"/>
    <col min="1282" max="1282" width="45.7109375" style="102" customWidth="1"/>
    <col min="1283" max="1283" width="15.5703125" style="102" customWidth="1"/>
    <col min="1284" max="1284" width="17.85546875" style="102" customWidth="1"/>
    <col min="1285" max="1285" width="16.5703125" style="102" customWidth="1"/>
    <col min="1286" max="1286" width="17.140625" style="102" customWidth="1"/>
    <col min="1287" max="1287" width="14.42578125" style="102" customWidth="1"/>
    <col min="1288" max="1288" width="36.28515625" style="102" customWidth="1"/>
    <col min="1289" max="1536" width="8.85546875" style="102"/>
    <col min="1537" max="1537" width="11.5703125" style="102" customWidth="1"/>
    <col min="1538" max="1538" width="45.7109375" style="102" customWidth="1"/>
    <col min="1539" max="1539" width="15.5703125" style="102" customWidth="1"/>
    <col min="1540" max="1540" width="17.85546875" style="102" customWidth="1"/>
    <col min="1541" max="1541" width="16.5703125" style="102" customWidth="1"/>
    <col min="1542" max="1542" width="17.140625" style="102" customWidth="1"/>
    <col min="1543" max="1543" width="14.42578125" style="102" customWidth="1"/>
    <col min="1544" max="1544" width="36.28515625" style="102" customWidth="1"/>
    <col min="1545" max="1792" width="8.85546875" style="102"/>
    <col min="1793" max="1793" width="11.5703125" style="102" customWidth="1"/>
    <col min="1794" max="1794" width="45.7109375" style="102" customWidth="1"/>
    <col min="1795" max="1795" width="15.5703125" style="102" customWidth="1"/>
    <col min="1796" max="1796" width="17.85546875" style="102" customWidth="1"/>
    <col min="1797" max="1797" width="16.5703125" style="102" customWidth="1"/>
    <col min="1798" max="1798" width="17.140625" style="102" customWidth="1"/>
    <col min="1799" max="1799" width="14.42578125" style="102" customWidth="1"/>
    <col min="1800" max="1800" width="36.28515625" style="102" customWidth="1"/>
    <col min="1801" max="2048" width="8.85546875" style="102"/>
    <col min="2049" max="2049" width="11.5703125" style="102" customWidth="1"/>
    <col min="2050" max="2050" width="45.7109375" style="102" customWidth="1"/>
    <col min="2051" max="2051" width="15.5703125" style="102" customWidth="1"/>
    <col min="2052" max="2052" width="17.85546875" style="102" customWidth="1"/>
    <col min="2053" max="2053" width="16.5703125" style="102" customWidth="1"/>
    <col min="2054" max="2054" width="17.140625" style="102" customWidth="1"/>
    <col min="2055" max="2055" width="14.42578125" style="102" customWidth="1"/>
    <col min="2056" max="2056" width="36.28515625" style="102" customWidth="1"/>
    <col min="2057" max="2304" width="8.85546875" style="102"/>
    <col min="2305" max="2305" width="11.5703125" style="102" customWidth="1"/>
    <col min="2306" max="2306" width="45.7109375" style="102" customWidth="1"/>
    <col min="2307" max="2307" width="15.5703125" style="102" customWidth="1"/>
    <col min="2308" max="2308" width="17.85546875" style="102" customWidth="1"/>
    <col min="2309" max="2309" width="16.5703125" style="102" customWidth="1"/>
    <col min="2310" max="2310" width="17.140625" style="102" customWidth="1"/>
    <col min="2311" max="2311" width="14.42578125" style="102" customWidth="1"/>
    <col min="2312" max="2312" width="36.28515625" style="102" customWidth="1"/>
    <col min="2313" max="2560" width="8.85546875" style="102"/>
    <col min="2561" max="2561" width="11.5703125" style="102" customWidth="1"/>
    <col min="2562" max="2562" width="45.7109375" style="102" customWidth="1"/>
    <col min="2563" max="2563" width="15.5703125" style="102" customWidth="1"/>
    <col min="2564" max="2564" width="17.85546875" style="102" customWidth="1"/>
    <col min="2565" max="2565" width="16.5703125" style="102" customWidth="1"/>
    <col min="2566" max="2566" width="17.140625" style="102" customWidth="1"/>
    <col min="2567" max="2567" width="14.42578125" style="102" customWidth="1"/>
    <col min="2568" max="2568" width="36.28515625" style="102" customWidth="1"/>
    <col min="2569" max="2816" width="8.85546875" style="102"/>
    <col min="2817" max="2817" width="11.5703125" style="102" customWidth="1"/>
    <col min="2818" max="2818" width="45.7109375" style="102" customWidth="1"/>
    <col min="2819" max="2819" width="15.5703125" style="102" customWidth="1"/>
    <col min="2820" max="2820" width="17.85546875" style="102" customWidth="1"/>
    <col min="2821" max="2821" width="16.5703125" style="102" customWidth="1"/>
    <col min="2822" max="2822" width="17.140625" style="102" customWidth="1"/>
    <col min="2823" max="2823" width="14.42578125" style="102" customWidth="1"/>
    <col min="2824" max="2824" width="36.28515625" style="102" customWidth="1"/>
    <col min="2825" max="3072" width="8.85546875" style="102"/>
    <col min="3073" max="3073" width="11.5703125" style="102" customWidth="1"/>
    <col min="3074" max="3074" width="45.7109375" style="102" customWidth="1"/>
    <col min="3075" max="3075" width="15.5703125" style="102" customWidth="1"/>
    <col min="3076" max="3076" width="17.85546875" style="102" customWidth="1"/>
    <col min="3077" max="3077" width="16.5703125" style="102" customWidth="1"/>
    <col min="3078" max="3078" width="17.140625" style="102" customWidth="1"/>
    <col min="3079" max="3079" width="14.42578125" style="102" customWidth="1"/>
    <col min="3080" max="3080" width="36.28515625" style="102" customWidth="1"/>
    <col min="3081" max="3328" width="8.85546875" style="102"/>
    <col min="3329" max="3329" width="11.5703125" style="102" customWidth="1"/>
    <col min="3330" max="3330" width="45.7109375" style="102" customWidth="1"/>
    <col min="3331" max="3331" width="15.5703125" style="102" customWidth="1"/>
    <col min="3332" max="3332" width="17.85546875" style="102" customWidth="1"/>
    <col min="3333" max="3333" width="16.5703125" style="102" customWidth="1"/>
    <col min="3334" max="3334" width="17.140625" style="102" customWidth="1"/>
    <col min="3335" max="3335" width="14.42578125" style="102" customWidth="1"/>
    <col min="3336" max="3336" width="36.28515625" style="102" customWidth="1"/>
    <col min="3337" max="3584" width="8.85546875" style="102"/>
    <col min="3585" max="3585" width="11.5703125" style="102" customWidth="1"/>
    <col min="3586" max="3586" width="45.7109375" style="102" customWidth="1"/>
    <col min="3587" max="3587" width="15.5703125" style="102" customWidth="1"/>
    <col min="3588" max="3588" width="17.85546875" style="102" customWidth="1"/>
    <col min="3589" max="3589" width="16.5703125" style="102" customWidth="1"/>
    <col min="3590" max="3590" width="17.140625" style="102" customWidth="1"/>
    <col min="3591" max="3591" width="14.42578125" style="102" customWidth="1"/>
    <col min="3592" max="3592" width="36.28515625" style="102" customWidth="1"/>
    <col min="3593" max="3840" width="8.85546875" style="102"/>
    <col min="3841" max="3841" width="11.5703125" style="102" customWidth="1"/>
    <col min="3842" max="3842" width="45.7109375" style="102" customWidth="1"/>
    <col min="3843" max="3843" width="15.5703125" style="102" customWidth="1"/>
    <col min="3844" max="3844" width="17.85546875" style="102" customWidth="1"/>
    <col min="3845" max="3845" width="16.5703125" style="102" customWidth="1"/>
    <col min="3846" max="3846" width="17.140625" style="102" customWidth="1"/>
    <col min="3847" max="3847" width="14.42578125" style="102" customWidth="1"/>
    <col min="3848" max="3848" width="36.28515625" style="102" customWidth="1"/>
    <col min="3849" max="4096" width="8.85546875" style="102"/>
    <col min="4097" max="4097" width="11.5703125" style="102" customWidth="1"/>
    <col min="4098" max="4098" width="45.7109375" style="102" customWidth="1"/>
    <col min="4099" max="4099" width="15.5703125" style="102" customWidth="1"/>
    <col min="4100" max="4100" width="17.85546875" style="102" customWidth="1"/>
    <col min="4101" max="4101" width="16.5703125" style="102" customWidth="1"/>
    <col min="4102" max="4102" width="17.140625" style="102" customWidth="1"/>
    <col min="4103" max="4103" width="14.42578125" style="102" customWidth="1"/>
    <col min="4104" max="4104" width="36.28515625" style="102" customWidth="1"/>
    <col min="4105" max="4352" width="8.85546875" style="102"/>
    <col min="4353" max="4353" width="11.5703125" style="102" customWidth="1"/>
    <col min="4354" max="4354" width="45.7109375" style="102" customWidth="1"/>
    <col min="4355" max="4355" width="15.5703125" style="102" customWidth="1"/>
    <col min="4356" max="4356" width="17.85546875" style="102" customWidth="1"/>
    <col min="4357" max="4357" width="16.5703125" style="102" customWidth="1"/>
    <col min="4358" max="4358" width="17.140625" style="102" customWidth="1"/>
    <col min="4359" max="4359" width="14.42578125" style="102" customWidth="1"/>
    <col min="4360" max="4360" width="36.28515625" style="102" customWidth="1"/>
    <col min="4361" max="4608" width="8.85546875" style="102"/>
    <col min="4609" max="4609" width="11.5703125" style="102" customWidth="1"/>
    <col min="4610" max="4610" width="45.7109375" style="102" customWidth="1"/>
    <col min="4611" max="4611" width="15.5703125" style="102" customWidth="1"/>
    <col min="4612" max="4612" width="17.85546875" style="102" customWidth="1"/>
    <col min="4613" max="4613" width="16.5703125" style="102" customWidth="1"/>
    <col min="4614" max="4614" width="17.140625" style="102" customWidth="1"/>
    <col min="4615" max="4615" width="14.42578125" style="102" customWidth="1"/>
    <col min="4616" max="4616" width="36.28515625" style="102" customWidth="1"/>
    <col min="4617" max="4864" width="8.85546875" style="102"/>
    <col min="4865" max="4865" width="11.5703125" style="102" customWidth="1"/>
    <col min="4866" max="4866" width="45.7109375" style="102" customWidth="1"/>
    <col min="4867" max="4867" width="15.5703125" style="102" customWidth="1"/>
    <col min="4868" max="4868" width="17.85546875" style="102" customWidth="1"/>
    <col min="4869" max="4869" width="16.5703125" style="102" customWidth="1"/>
    <col min="4870" max="4870" width="17.140625" style="102" customWidth="1"/>
    <col min="4871" max="4871" width="14.42578125" style="102" customWidth="1"/>
    <col min="4872" max="4872" width="36.28515625" style="102" customWidth="1"/>
    <col min="4873" max="5120" width="8.85546875" style="102"/>
    <col min="5121" max="5121" width="11.5703125" style="102" customWidth="1"/>
    <col min="5122" max="5122" width="45.7109375" style="102" customWidth="1"/>
    <col min="5123" max="5123" width="15.5703125" style="102" customWidth="1"/>
    <col min="5124" max="5124" width="17.85546875" style="102" customWidth="1"/>
    <col min="5125" max="5125" width="16.5703125" style="102" customWidth="1"/>
    <col min="5126" max="5126" width="17.140625" style="102" customWidth="1"/>
    <col min="5127" max="5127" width="14.42578125" style="102" customWidth="1"/>
    <col min="5128" max="5128" width="36.28515625" style="102" customWidth="1"/>
    <col min="5129" max="5376" width="8.85546875" style="102"/>
    <col min="5377" max="5377" width="11.5703125" style="102" customWidth="1"/>
    <col min="5378" max="5378" width="45.7109375" style="102" customWidth="1"/>
    <col min="5379" max="5379" width="15.5703125" style="102" customWidth="1"/>
    <col min="5380" max="5380" width="17.85546875" style="102" customWidth="1"/>
    <col min="5381" max="5381" width="16.5703125" style="102" customWidth="1"/>
    <col min="5382" max="5382" width="17.140625" style="102" customWidth="1"/>
    <col min="5383" max="5383" width="14.42578125" style="102" customWidth="1"/>
    <col min="5384" max="5384" width="36.28515625" style="102" customWidth="1"/>
    <col min="5385" max="5632" width="8.85546875" style="102"/>
    <col min="5633" max="5633" width="11.5703125" style="102" customWidth="1"/>
    <col min="5634" max="5634" width="45.7109375" style="102" customWidth="1"/>
    <col min="5635" max="5635" width="15.5703125" style="102" customWidth="1"/>
    <col min="5636" max="5636" width="17.85546875" style="102" customWidth="1"/>
    <col min="5637" max="5637" width="16.5703125" style="102" customWidth="1"/>
    <col min="5638" max="5638" width="17.140625" style="102" customWidth="1"/>
    <col min="5639" max="5639" width="14.42578125" style="102" customWidth="1"/>
    <col min="5640" max="5640" width="36.28515625" style="102" customWidth="1"/>
    <col min="5641" max="5888" width="8.85546875" style="102"/>
    <col min="5889" max="5889" width="11.5703125" style="102" customWidth="1"/>
    <col min="5890" max="5890" width="45.7109375" style="102" customWidth="1"/>
    <col min="5891" max="5891" width="15.5703125" style="102" customWidth="1"/>
    <col min="5892" max="5892" width="17.85546875" style="102" customWidth="1"/>
    <col min="5893" max="5893" width="16.5703125" style="102" customWidth="1"/>
    <col min="5894" max="5894" width="17.140625" style="102" customWidth="1"/>
    <col min="5895" max="5895" width="14.42578125" style="102" customWidth="1"/>
    <col min="5896" max="5896" width="36.28515625" style="102" customWidth="1"/>
    <col min="5897" max="6144" width="8.85546875" style="102"/>
    <col min="6145" max="6145" width="11.5703125" style="102" customWidth="1"/>
    <col min="6146" max="6146" width="45.7109375" style="102" customWidth="1"/>
    <col min="6147" max="6147" width="15.5703125" style="102" customWidth="1"/>
    <col min="6148" max="6148" width="17.85546875" style="102" customWidth="1"/>
    <col min="6149" max="6149" width="16.5703125" style="102" customWidth="1"/>
    <col min="6150" max="6150" width="17.140625" style="102" customWidth="1"/>
    <col min="6151" max="6151" width="14.42578125" style="102" customWidth="1"/>
    <col min="6152" max="6152" width="36.28515625" style="102" customWidth="1"/>
    <col min="6153" max="6400" width="8.85546875" style="102"/>
    <col min="6401" max="6401" width="11.5703125" style="102" customWidth="1"/>
    <col min="6402" max="6402" width="45.7109375" style="102" customWidth="1"/>
    <col min="6403" max="6403" width="15.5703125" style="102" customWidth="1"/>
    <col min="6404" max="6404" width="17.85546875" style="102" customWidth="1"/>
    <col min="6405" max="6405" width="16.5703125" style="102" customWidth="1"/>
    <col min="6406" max="6406" width="17.140625" style="102" customWidth="1"/>
    <col min="6407" max="6407" width="14.42578125" style="102" customWidth="1"/>
    <col min="6408" max="6408" width="36.28515625" style="102" customWidth="1"/>
    <col min="6409" max="6656" width="8.85546875" style="102"/>
    <col min="6657" max="6657" width="11.5703125" style="102" customWidth="1"/>
    <col min="6658" max="6658" width="45.7109375" style="102" customWidth="1"/>
    <col min="6659" max="6659" width="15.5703125" style="102" customWidth="1"/>
    <col min="6660" max="6660" width="17.85546875" style="102" customWidth="1"/>
    <col min="6661" max="6661" width="16.5703125" style="102" customWidth="1"/>
    <col min="6662" max="6662" width="17.140625" style="102" customWidth="1"/>
    <col min="6663" max="6663" width="14.42578125" style="102" customWidth="1"/>
    <col min="6664" max="6664" width="36.28515625" style="102" customWidth="1"/>
    <col min="6665" max="6912" width="8.85546875" style="102"/>
    <col min="6913" max="6913" width="11.5703125" style="102" customWidth="1"/>
    <col min="6914" max="6914" width="45.7109375" style="102" customWidth="1"/>
    <col min="6915" max="6915" width="15.5703125" style="102" customWidth="1"/>
    <col min="6916" max="6916" width="17.85546875" style="102" customWidth="1"/>
    <col min="6917" max="6917" width="16.5703125" style="102" customWidth="1"/>
    <col min="6918" max="6918" width="17.140625" style="102" customWidth="1"/>
    <col min="6919" max="6919" width="14.42578125" style="102" customWidth="1"/>
    <col min="6920" max="6920" width="36.28515625" style="102" customWidth="1"/>
    <col min="6921" max="7168" width="8.85546875" style="102"/>
    <col min="7169" max="7169" width="11.5703125" style="102" customWidth="1"/>
    <col min="7170" max="7170" width="45.7109375" style="102" customWidth="1"/>
    <col min="7171" max="7171" width="15.5703125" style="102" customWidth="1"/>
    <col min="7172" max="7172" width="17.85546875" style="102" customWidth="1"/>
    <col min="7173" max="7173" width="16.5703125" style="102" customWidth="1"/>
    <col min="7174" max="7174" width="17.140625" style="102" customWidth="1"/>
    <col min="7175" max="7175" width="14.42578125" style="102" customWidth="1"/>
    <col min="7176" max="7176" width="36.28515625" style="102" customWidth="1"/>
    <col min="7177" max="7424" width="8.85546875" style="102"/>
    <col min="7425" max="7425" width="11.5703125" style="102" customWidth="1"/>
    <col min="7426" max="7426" width="45.7109375" style="102" customWidth="1"/>
    <col min="7427" max="7427" width="15.5703125" style="102" customWidth="1"/>
    <col min="7428" max="7428" width="17.85546875" style="102" customWidth="1"/>
    <col min="7429" max="7429" width="16.5703125" style="102" customWidth="1"/>
    <col min="7430" max="7430" width="17.140625" style="102" customWidth="1"/>
    <col min="7431" max="7431" width="14.42578125" style="102" customWidth="1"/>
    <col min="7432" max="7432" width="36.28515625" style="102" customWidth="1"/>
    <col min="7433" max="7680" width="8.85546875" style="102"/>
    <col min="7681" max="7681" width="11.5703125" style="102" customWidth="1"/>
    <col min="7682" max="7682" width="45.7109375" style="102" customWidth="1"/>
    <col min="7683" max="7683" width="15.5703125" style="102" customWidth="1"/>
    <col min="7684" max="7684" width="17.85546875" style="102" customWidth="1"/>
    <col min="7685" max="7685" width="16.5703125" style="102" customWidth="1"/>
    <col min="7686" max="7686" width="17.140625" style="102" customWidth="1"/>
    <col min="7687" max="7687" width="14.42578125" style="102" customWidth="1"/>
    <col min="7688" max="7688" width="36.28515625" style="102" customWidth="1"/>
    <col min="7689" max="7936" width="8.85546875" style="102"/>
    <col min="7937" max="7937" width="11.5703125" style="102" customWidth="1"/>
    <col min="7938" max="7938" width="45.7109375" style="102" customWidth="1"/>
    <col min="7939" max="7939" width="15.5703125" style="102" customWidth="1"/>
    <col min="7940" max="7940" width="17.85546875" style="102" customWidth="1"/>
    <col min="7941" max="7941" width="16.5703125" style="102" customWidth="1"/>
    <col min="7942" max="7942" width="17.140625" style="102" customWidth="1"/>
    <col min="7943" max="7943" width="14.42578125" style="102" customWidth="1"/>
    <col min="7944" max="7944" width="36.28515625" style="102" customWidth="1"/>
    <col min="7945" max="8192" width="8.85546875" style="102"/>
    <col min="8193" max="8193" width="11.5703125" style="102" customWidth="1"/>
    <col min="8194" max="8194" width="45.7109375" style="102" customWidth="1"/>
    <col min="8195" max="8195" width="15.5703125" style="102" customWidth="1"/>
    <col min="8196" max="8196" width="17.85546875" style="102" customWidth="1"/>
    <col min="8197" max="8197" width="16.5703125" style="102" customWidth="1"/>
    <col min="8198" max="8198" width="17.140625" style="102" customWidth="1"/>
    <col min="8199" max="8199" width="14.42578125" style="102" customWidth="1"/>
    <col min="8200" max="8200" width="36.28515625" style="102" customWidth="1"/>
    <col min="8201" max="8448" width="8.85546875" style="102"/>
    <col min="8449" max="8449" width="11.5703125" style="102" customWidth="1"/>
    <col min="8450" max="8450" width="45.7109375" style="102" customWidth="1"/>
    <col min="8451" max="8451" width="15.5703125" style="102" customWidth="1"/>
    <col min="8452" max="8452" width="17.85546875" style="102" customWidth="1"/>
    <col min="8453" max="8453" width="16.5703125" style="102" customWidth="1"/>
    <col min="8454" max="8454" width="17.140625" style="102" customWidth="1"/>
    <col min="8455" max="8455" width="14.42578125" style="102" customWidth="1"/>
    <col min="8456" max="8456" width="36.28515625" style="102" customWidth="1"/>
    <col min="8457" max="8704" width="8.85546875" style="102"/>
    <col min="8705" max="8705" width="11.5703125" style="102" customWidth="1"/>
    <col min="8706" max="8706" width="45.7109375" style="102" customWidth="1"/>
    <col min="8707" max="8707" width="15.5703125" style="102" customWidth="1"/>
    <col min="8708" max="8708" width="17.85546875" style="102" customWidth="1"/>
    <col min="8709" max="8709" width="16.5703125" style="102" customWidth="1"/>
    <col min="8710" max="8710" width="17.140625" style="102" customWidth="1"/>
    <col min="8711" max="8711" width="14.42578125" style="102" customWidth="1"/>
    <col min="8712" max="8712" width="36.28515625" style="102" customWidth="1"/>
    <col min="8713" max="8960" width="8.85546875" style="102"/>
    <col min="8961" max="8961" width="11.5703125" style="102" customWidth="1"/>
    <col min="8962" max="8962" width="45.7109375" style="102" customWidth="1"/>
    <col min="8963" max="8963" width="15.5703125" style="102" customWidth="1"/>
    <col min="8964" max="8964" width="17.85546875" style="102" customWidth="1"/>
    <col min="8965" max="8965" width="16.5703125" style="102" customWidth="1"/>
    <col min="8966" max="8966" width="17.140625" style="102" customWidth="1"/>
    <col min="8967" max="8967" width="14.42578125" style="102" customWidth="1"/>
    <col min="8968" max="8968" width="36.28515625" style="102" customWidth="1"/>
    <col min="8969" max="9216" width="8.85546875" style="102"/>
    <col min="9217" max="9217" width="11.5703125" style="102" customWidth="1"/>
    <col min="9218" max="9218" width="45.7109375" style="102" customWidth="1"/>
    <col min="9219" max="9219" width="15.5703125" style="102" customWidth="1"/>
    <col min="9220" max="9220" width="17.85546875" style="102" customWidth="1"/>
    <col min="9221" max="9221" width="16.5703125" style="102" customWidth="1"/>
    <col min="9222" max="9222" width="17.140625" style="102" customWidth="1"/>
    <col min="9223" max="9223" width="14.42578125" style="102" customWidth="1"/>
    <col min="9224" max="9224" width="36.28515625" style="102" customWidth="1"/>
    <col min="9225" max="9472" width="8.85546875" style="102"/>
    <col min="9473" max="9473" width="11.5703125" style="102" customWidth="1"/>
    <col min="9474" max="9474" width="45.7109375" style="102" customWidth="1"/>
    <col min="9475" max="9475" width="15.5703125" style="102" customWidth="1"/>
    <col min="9476" max="9476" width="17.85546875" style="102" customWidth="1"/>
    <col min="9477" max="9477" width="16.5703125" style="102" customWidth="1"/>
    <col min="9478" max="9478" width="17.140625" style="102" customWidth="1"/>
    <col min="9479" max="9479" width="14.42578125" style="102" customWidth="1"/>
    <col min="9480" max="9480" width="36.28515625" style="102" customWidth="1"/>
    <col min="9481" max="9728" width="8.85546875" style="102"/>
    <col min="9729" max="9729" width="11.5703125" style="102" customWidth="1"/>
    <col min="9730" max="9730" width="45.7109375" style="102" customWidth="1"/>
    <col min="9731" max="9731" width="15.5703125" style="102" customWidth="1"/>
    <col min="9732" max="9732" width="17.85546875" style="102" customWidth="1"/>
    <col min="9733" max="9733" width="16.5703125" style="102" customWidth="1"/>
    <col min="9734" max="9734" width="17.140625" style="102" customWidth="1"/>
    <col min="9735" max="9735" width="14.42578125" style="102" customWidth="1"/>
    <col min="9736" max="9736" width="36.28515625" style="102" customWidth="1"/>
    <col min="9737" max="9984" width="8.85546875" style="102"/>
    <col min="9985" max="9985" width="11.5703125" style="102" customWidth="1"/>
    <col min="9986" max="9986" width="45.7109375" style="102" customWidth="1"/>
    <col min="9987" max="9987" width="15.5703125" style="102" customWidth="1"/>
    <col min="9988" max="9988" width="17.85546875" style="102" customWidth="1"/>
    <col min="9989" max="9989" width="16.5703125" style="102" customWidth="1"/>
    <col min="9990" max="9990" width="17.140625" style="102" customWidth="1"/>
    <col min="9991" max="9991" width="14.42578125" style="102" customWidth="1"/>
    <col min="9992" max="9992" width="36.28515625" style="102" customWidth="1"/>
    <col min="9993" max="10240" width="8.85546875" style="102"/>
    <col min="10241" max="10241" width="11.5703125" style="102" customWidth="1"/>
    <col min="10242" max="10242" width="45.7109375" style="102" customWidth="1"/>
    <col min="10243" max="10243" width="15.5703125" style="102" customWidth="1"/>
    <col min="10244" max="10244" width="17.85546875" style="102" customWidth="1"/>
    <col min="10245" max="10245" width="16.5703125" style="102" customWidth="1"/>
    <col min="10246" max="10246" width="17.140625" style="102" customWidth="1"/>
    <col min="10247" max="10247" width="14.42578125" style="102" customWidth="1"/>
    <col min="10248" max="10248" width="36.28515625" style="102" customWidth="1"/>
    <col min="10249" max="10496" width="8.85546875" style="102"/>
    <col min="10497" max="10497" width="11.5703125" style="102" customWidth="1"/>
    <col min="10498" max="10498" width="45.7109375" style="102" customWidth="1"/>
    <col min="10499" max="10499" width="15.5703125" style="102" customWidth="1"/>
    <col min="10500" max="10500" width="17.85546875" style="102" customWidth="1"/>
    <col min="10501" max="10501" width="16.5703125" style="102" customWidth="1"/>
    <col min="10502" max="10502" width="17.140625" style="102" customWidth="1"/>
    <col min="10503" max="10503" width="14.42578125" style="102" customWidth="1"/>
    <col min="10504" max="10504" width="36.28515625" style="102" customWidth="1"/>
    <col min="10505" max="10752" width="8.85546875" style="102"/>
    <col min="10753" max="10753" width="11.5703125" style="102" customWidth="1"/>
    <col min="10754" max="10754" width="45.7109375" style="102" customWidth="1"/>
    <col min="10755" max="10755" width="15.5703125" style="102" customWidth="1"/>
    <col min="10756" max="10756" width="17.85546875" style="102" customWidth="1"/>
    <col min="10757" max="10757" width="16.5703125" style="102" customWidth="1"/>
    <col min="10758" max="10758" width="17.140625" style="102" customWidth="1"/>
    <col min="10759" max="10759" width="14.42578125" style="102" customWidth="1"/>
    <col min="10760" max="10760" width="36.28515625" style="102" customWidth="1"/>
    <col min="10761" max="11008" width="8.85546875" style="102"/>
    <col min="11009" max="11009" width="11.5703125" style="102" customWidth="1"/>
    <col min="11010" max="11010" width="45.7109375" style="102" customWidth="1"/>
    <col min="11011" max="11011" width="15.5703125" style="102" customWidth="1"/>
    <col min="11012" max="11012" width="17.85546875" style="102" customWidth="1"/>
    <col min="11013" max="11013" width="16.5703125" style="102" customWidth="1"/>
    <col min="11014" max="11014" width="17.140625" style="102" customWidth="1"/>
    <col min="11015" max="11015" width="14.42578125" style="102" customWidth="1"/>
    <col min="11016" max="11016" width="36.28515625" style="102" customWidth="1"/>
    <col min="11017" max="11264" width="8.85546875" style="102"/>
    <col min="11265" max="11265" width="11.5703125" style="102" customWidth="1"/>
    <col min="11266" max="11266" width="45.7109375" style="102" customWidth="1"/>
    <col min="11267" max="11267" width="15.5703125" style="102" customWidth="1"/>
    <col min="11268" max="11268" width="17.85546875" style="102" customWidth="1"/>
    <col min="11269" max="11269" width="16.5703125" style="102" customWidth="1"/>
    <col min="11270" max="11270" width="17.140625" style="102" customWidth="1"/>
    <col min="11271" max="11271" width="14.42578125" style="102" customWidth="1"/>
    <col min="11272" max="11272" width="36.28515625" style="102" customWidth="1"/>
    <col min="11273" max="11520" width="8.85546875" style="102"/>
    <col min="11521" max="11521" width="11.5703125" style="102" customWidth="1"/>
    <col min="11522" max="11522" width="45.7109375" style="102" customWidth="1"/>
    <col min="11523" max="11523" width="15.5703125" style="102" customWidth="1"/>
    <col min="11524" max="11524" width="17.85546875" style="102" customWidth="1"/>
    <col min="11525" max="11525" width="16.5703125" style="102" customWidth="1"/>
    <col min="11526" max="11526" width="17.140625" style="102" customWidth="1"/>
    <col min="11527" max="11527" width="14.42578125" style="102" customWidth="1"/>
    <col min="11528" max="11528" width="36.28515625" style="102" customWidth="1"/>
    <col min="11529" max="11776" width="8.85546875" style="102"/>
    <col min="11777" max="11777" width="11.5703125" style="102" customWidth="1"/>
    <col min="11778" max="11778" width="45.7109375" style="102" customWidth="1"/>
    <col min="11779" max="11779" width="15.5703125" style="102" customWidth="1"/>
    <col min="11780" max="11780" width="17.85546875" style="102" customWidth="1"/>
    <col min="11781" max="11781" width="16.5703125" style="102" customWidth="1"/>
    <col min="11782" max="11782" width="17.140625" style="102" customWidth="1"/>
    <col min="11783" max="11783" width="14.42578125" style="102" customWidth="1"/>
    <col min="11784" max="11784" width="36.28515625" style="102" customWidth="1"/>
    <col min="11785" max="12032" width="8.85546875" style="102"/>
    <col min="12033" max="12033" width="11.5703125" style="102" customWidth="1"/>
    <col min="12034" max="12034" width="45.7109375" style="102" customWidth="1"/>
    <col min="12035" max="12035" width="15.5703125" style="102" customWidth="1"/>
    <col min="12036" max="12036" width="17.85546875" style="102" customWidth="1"/>
    <col min="12037" max="12037" width="16.5703125" style="102" customWidth="1"/>
    <col min="12038" max="12038" width="17.140625" style="102" customWidth="1"/>
    <col min="12039" max="12039" width="14.42578125" style="102" customWidth="1"/>
    <col min="12040" max="12040" width="36.28515625" style="102" customWidth="1"/>
    <col min="12041" max="12288" width="8.85546875" style="102"/>
    <col min="12289" max="12289" width="11.5703125" style="102" customWidth="1"/>
    <col min="12290" max="12290" width="45.7109375" style="102" customWidth="1"/>
    <col min="12291" max="12291" width="15.5703125" style="102" customWidth="1"/>
    <col min="12292" max="12292" width="17.85546875" style="102" customWidth="1"/>
    <col min="12293" max="12293" width="16.5703125" style="102" customWidth="1"/>
    <col min="12294" max="12294" width="17.140625" style="102" customWidth="1"/>
    <col min="12295" max="12295" width="14.42578125" style="102" customWidth="1"/>
    <col min="12296" max="12296" width="36.28515625" style="102" customWidth="1"/>
    <col min="12297" max="12544" width="8.85546875" style="102"/>
    <col min="12545" max="12545" width="11.5703125" style="102" customWidth="1"/>
    <col min="12546" max="12546" width="45.7109375" style="102" customWidth="1"/>
    <col min="12547" max="12547" width="15.5703125" style="102" customWidth="1"/>
    <col min="12548" max="12548" width="17.85546875" style="102" customWidth="1"/>
    <col min="12549" max="12549" width="16.5703125" style="102" customWidth="1"/>
    <col min="12550" max="12550" width="17.140625" style="102" customWidth="1"/>
    <col min="12551" max="12551" width="14.42578125" style="102" customWidth="1"/>
    <col min="12552" max="12552" width="36.28515625" style="102" customWidth="1"/>
    <col min="12553" max="12800" width="8.85546875" style="102"/>
    <col min="12801" max="12801" width="11.5703125" style="102" customWidth="1"/>
    <col min="12802" max="12802" width="45.7109375" style="102" customWidth="1"/>
    <col min="12803" max="12803" width="15.5703125" style="102" customWidth="1"/>
    <col min="12804" max="12804" width="17.85546875" style="102" customWidth="1"/>
    <col min="12805" max="12805" width="16.5703125" style="102" customWidth="1"/>
    <col min="12806" max="12806" width="17.140625" style="102" customWidth="1"/>
    <col min="12807" max="12807" width="14.42578125" style="102" customWidth="1"/>
    <col min="12808" max="12808" width="36.28515625" style="102" customWidth="1"/>
    <col min="12809" max="13056" width="8.85546875" style="102"/>
    <col min="13057" max="13057" width="11.5703125" style="102" customWidth="1"/>
    <col min="13058" max="13058" width="45.7109375" style="102" customWidth="1"/>
    <col min="13059" max="13059" width="15.5703125" style="102" customWidth="1"/>
    <col min="13060" max="13060" width="17.85546875" style="102" customWidth="1"/>
    <col min="13061" max="13061" width="16.5703125" style="102" customWidth="1"/>
    <col min="13062" max="13062" width="17.140625" style="102" customWidth="1"/>
    <col min="13063" max="13063" width="14.42578125" style="102" customWidth="1"/>
    <col min="13064" max="13064" width="36.28515625" style="102" customWidth="1"/>
    <col min="13065" max="13312" width="8.85546875" style="102"/>
    <col min="13313" max="13313" width="11.5703125" style="102" customWidth="1"/>
    <col min="13314" max="13314" width="45.7109375" style="102" customWidth="1"/>
    <col min="13315" max="13315" width="15.5703125" style="102" customWidth="1"/>
    <col min="13316" max="13316" width="17.85546875" style="102" customWidth="1"/>
    <col min="13317" max="13317" width="16.5703125" style="102" customWidth="1"/>
    <col min="13318" max="13318" width="17.140625" style="102" customWidth="1"/>
    <col min="13319" max="13319" width="14.42578125" style="102" customWidth="1"/>
    <col min="13320" max="13320" width="36.28515625" style="102" customWidth="1"/>
    <col min="13321" max="13568" width="8.85546875" style="102"/>
    <col min="13569" max="13569" width="11.5703125" style="102" customWidth="1"/>
    <col min="13570" max="13570" width="45.7109375" style="102" customWidth="1"/>
    <col min="13571" max="13571" width="15.5703125" style="102" customWidth="1"/>
    <col min="13572" max="13572" width="17.85546875" style="102" customWidth="1"/>
    <col min="13573" max="13573" width="16.5703125" style="102" customWidth="1"/>
    <col min="13574" max="13574" width="17.140625" style="102" customWidth="1"/>
    <col min="13575" max="13575" width="14.42578125" style="102" customWidth="1"/>
    <col min="13576" max="13576" width="36.28515625" style="102" customWidth="1"/>
    <col min="13577" max="13824" width="8.85546875" style="102"/>
    <col min="13825" max="13825" width="11.5703125" style="102" customWidth="1"/>
    <col min="13826" max="13826" width="45.7109375" style="102" customWidth="1"/>
    <col min="13827" max="13827" width="15.5703125" style="102" customWidth="1"/>
    <col min="13828" max="13828" width="17.85546875" style="102" customWidth="1"/>
    <col min="13829" max="13829" width="16.5703125" style="102" customWidth="1"/>
    <col min="13830" max="13830" width="17.140625" style="102" customWidth="1"/>
    <col min="13831" max="13831" width="14.42578125" style="102" customWidth="1"/>
    <col min="13832" max="13832" width="36.28515625" style="102" customWidth="1"/>
    <col min="13833" max="14080" width="8.85546875" style="102"/>
    <col min="14081" max="14081" width="11.5703125" style="102" customWidth="1"/>
    <col min="14082" max="14082" width="45.7109375" style="102" customWidth="1"/>
    <col min="14083" max="14083" width="15.5703125" style="102" customWidth="1"/>
    <col min="14084" max="14084" width="17.85546875" style="102" customWidth="1"/>
    <col min="14085" max="14085" width="16.5703125" style="102" customWidth="1"/>
    <col min="14086" max="14086" width="17.140625" style="102" customWidth="1"/>
    <col min="14087" max="14087" width="14.42578125" style="102" customWidth="1"/>
    <col min="14088" max="14088" width="36.28515625" style="102" customWidth="1"/>
    <col min="14089" max="14336" width="8.85546875" style="102"/>
    <col min="14337" max="14337" width="11.5703125" style="102" customWidth="1"/>
    <col min="14338" max="14338" width="45.7109375" style="102" customWidth="1"/>
    <col min="14339" max="14339" width="15.5703125" style="102" customWidth="1"/>
    <col min="14340" max="14340" width="17.85546875" style="102" customWidth="1"/>
    <col min="14341" max="14341" width="16.5703125" style="102" customWidth="1"/>
    <col min="14342" max="14342" width="17.140625" style="102" customWidth="1"/>
    <col min="14343" max="14343" width="14.42578125" style="102" customWidth="1"/>
    <col min="14344" max="14344" width="36.28515625" style="102" customWidth="1"/>
    <col min="14345" max="14592" width="8.85546875" style="102"/>
    <col min="14593" max="14593" width="11.5703125" style="102" customWidth="1"/>
    <col min="14594" max="14594" width="45.7109375" style="102" customWidth="1"/>
    <col min="14595" max="14595" width="15.5703125" style="102" customWidth="1"/>
    <col min="14596" max="14596" width="17.85546875" style="102" customWidth="1"/>
    <col min="14597" max="14597" width="16.5703125" style="102" customWidth="1"/>
    <col min="14598" max="14598" width="17.140625" style="102" customWidth="1"/>
    <col min="14599" max="14599" width="14.42578125" style="102" customWidth="1"/>
    <col min="14600" max="14600" width="36.28515625" style="102" customWidth="1"/>
    <col min="14601" max="14848" width="8.85546875" style="102"/>
    <col min="14849" max="14849" width="11.5703125" style="102" customWidth="1"/>
    <col min="14850" max="14850" width="45.7109375" style="102" customWidth="1"/>
    <col min="14851" max="14851" width="15.5703125" style="102" customWidth="1"/>
    <col min="14852" max="14852" width="17.85546875" style="102" customWidth="1"/>
    <col min="14853" max="14853" width="16.5703125" style="102" customWidth="1"/>
    <col min="14854" max="14854" width="17.140625" style="102" customWidth="1"/>
    <col min="14855" max="14855" width="14.42578125" style="102" customWidth="1"/>
    <col min="14856" max="14856" width="36.28515625" style="102" customWidth="1"/>
    <col min="14857" max="15104" width="8.85546875" style="102"/>
    <col min="15105" max="15105" width="11.5703125" style="102" customWidth="1"/>
    <col min="15106" max="15106" width="45.7109375" style="102" customWidth="1"/>
    <col min="15107" max="15107" width="15.5703125" style="102" customWidth="1"/>
    <col min="15108" max="15108" width="17.85546875" style="102" customWidth="1"/>
    <col min="15109" max="15109" width="16.5703125" style="102" customWidth="1"/>
    <col min="15110" max="15110" width="17.140625" style="102" customWidth="1"/>
    <col min="15111" max="15111" width="14.42578125" style="102" customWidth="1"/>
    <col min="15112" max="15112" width="36.28515625" style="102" customWidth="1"/>
    <col min="15113" max="15360" width="8.85546875" style="102"/>
    <col min="15361" max="15361" width="11.5703125" style="102" customWidth="1"/>
    <col min="15362" max="15362" width="45.7109375" style="102" customWidth="1"/>
    <col min="15363" max="15363" width="15.5703125" style="102" customWidth="1"/>
    <col min="15364" max="15364" width="17.85546875" style="102" customWidth="1"/>
    <col min="15365" max="15365" width="16.5703125" style="102" customWidth="1"/>
    <col min="15366" max="15366" width="17.140625" style="102" customWidth="1"/>
    <col min="15367" max="15367" width="14.42578125" style="102" customWidth="1"/>
    <col min="15368" max="15368" width="36.28515625" style="102" customWidth="1"/>
    <col min="15369" max="15616" width="8.85546875" style="102"/>
    <col min="15617" max="15617" width="11.5703125" style="102" customWidth="1"/>
    <col min="15618" max="15618" width="45.7109375" style="102" customWidth="1"/>
    <col min="15619" max="15619" width="15.5703125" style="102" customWidth="1"/>
    <col min="15620" max="15620" width="17.85546875" style="102" customWidth="1"/>
    <col min="15621" max="15621" width="16.5703125" style="102" customWidth="1"/>
    <col min="15622" max="15622" width="17.140625" style="102" customWidth="1"/>
    <col min="15623" max="15623" width="14.42578125" style="102" customWidth="1"/>
    <col min="15624" max="15624" width="36.28515625" style="102" customWidth="1"/>
    <col min="15625" max="15872" width="8.85546875" style="102"/>
    <col min="15873" max="15873" width="11.5703125" style="102" customWidth="1"/>
    <col min="15874" max="15874" width="45.7109375" style="102" customWidth="1"/>
    <col min="15875" max="15875" width="15.5703125" style="102" customWidth="1"/>
    <col min="15876" max="15876" width="17.85546875" style="102" customWidth="1"/>
    <col min="15877" max="15877" width="16.5703125" style="102" customWidth="1"/>
    <col min="15878" max="15878" width="17.140625" style="102" customWidth="1"/>
    <col min="15879" max="15879" width="14.42578125" style="102" customWidth="1"/>
    <col min="15880" max="15880" width="36.28515625" style="102" customWidth="1"/>
    <col min="15881" max="16128" width="8.85546875" style="102"/>
    <col min="16129" max="16129" width="11.5703125" style="102" customWidth="1"/>
    <col min="16130" max="16130" width="45.7109375" style="102" customWidth="1"/>
    <col min="16131" max="16131" width="15.5703125" style="102" customWidth="1"/>
    <col min="16132" max="16132" width="17.85546875" style="102" customWidth="1"/>
    <col min="16133" max="16133" width="16.5703125" style="102" customWidth="1"/>
    <col min="16134" max="16134" width="17.140625" style="102" customWidth="1"/>
    <col min="16135" max="16135" width="14.42578125" style="102" customWidth="1"/>
    <col min="16136" max="16136" width="36.28515625" style="102" customWidth="1"/>
    <col min="16137" max="16384" width="8.85546875" style="102"/>
  </cols>
  <sheetData>
    <row r="1" spans="1:7" s="11" customFormat="1" ht="15.75" x14ac:dyDescent="0.25">
      <c r="A1" s="9"/>
      <c r="B1" s="9"/>
      <c r="C1" s="9"/>
      <c r="D1" s="856" t="s">
        <v>347</v>
      </c>
      <c r="E1" s="856"/>
      <c r="F1" s="856"/>
      <c r="G1" s="12"/>
    </row>
    <row r="2" spans="1:7" s="11" customFormat="1" ht="18.75" x14ac:dyDescent="0.3">
      <c r="A2" s="9"/>
      <c r="B2" s="13"/>
      <c r="C2" s="9"/>
      <c r="D2" s="14" t="s">
        <v>809</v>
      </c>
      <c r="E2" s="14"/>
      <c r="F2" s="14"/>
      <c r="G2" s="12"/>
    </row>
    <row r="3" spans="1:7" s="11" customFormat="1" ht="15.75" x14ac:dyDescent="0.25">
      <c r="A3" s="9"/>
      <c r="B3" s="9"/>
      <c r="C3" s="9"/>
      <c r="D3" s="14" t="s">
        <v>185</v>
      </c>
      <c r="E3" s="609"/>
      <c r="F3" s="609"/>
      <c r="G3" s="12"/>
    </row>
    <row r="4" spans="1:7" s="11" customFormat="1" ht="15.75" x14ac:dyDescent="0.25">
      <c r="A4" s="9"/>
      <c r="B4" s="9"/>
      <c r="C4" s="9"/>
      <c r="D4" s="14" t="s">
        <v>989</v>
      </c>
      <c r="E4" s="14"/>
      <c r="F4" s="14"/>
      <c r="G4" s="12"/>
    </row>
    <row r="5" spans="1:7" s="93" customFormat="1" ht="18.75" x14ac:dyDescent="0.2">
      <c r="B5" s="94"/>
      <c r="C5" s="95"/>
      <c r="D5" s="857"/>
      <c r="E5" s="857"/>
      <c r="F5" s="857"/>
    </row>
    <row r="6" spans="1:7" s="93" customFormat="1" ht="18.75" x14ac:dyDescent="0.2">
      <c r="A6" s="858" t="s">
        <v>348</v>
      </c>
      <c r="B6" s="858"/>
      <c r="C6" s="858"/>
      <c r="D6" s="858"/>
      <c r="E6" s="858"/>
      <c r="F6" s="858"/>
    </row>
    <row r="7" spans="1:7" s="93" customFormat="1" ht="23.25" customHeight="1" x14ac:dyDescent="0.3">
      <c r="A7" s="859" t="s">
        <v>811</v>
      </c>
      <c r="B7" s="859"/>
      <c r="C7" s="859"/>
      <c r="D7" s="859"/>
      <c r="E7" s="859"/>
      <c r="F7" s="859"/>
      <c r="G7" s="94"/>
    </row>
    <row r="8" spans="1:7" s="93" customFormat="1" ht="15.75" customHeight="1" x14ac:dyDescent="0.3">
      <c r="A8" s="611"/>
      <c r="B8" s="96">
        <v>11503000000</v>
      </c>
      <c r="C8" s="611"/>
      <c r="D8" s="611"/>
      <c r="E8" s="611"/>
      <c r="F8" s="611"/>
      <c r="G8" s="94"/>
    </row>
    <row r="9" spans="1:7" s="99" customFormat="1" ht="16.5" customHeight="1" x14ac:dyDescent="0.25">
      <c r="A9" s="97"/>
      <c r="B9" s="96" t="s">
        <v>2</v>
      </c>
      <c r="C9" s="610"/>
      <c r="D9" s="610"/>
      <c r="E9" s="610"/>
      <c r="F9" s="610"/>
      <c r="G9" s="98"/>
    </row>
    <row r="10" spans="1:7" ht="19.5" thickBot="1" x14ac:dyDescent="0.25">
      <c r="A10" s="100"/>
      <c r="B10" s="101"/>
      <c r="C10" s="97"/>
      <c r="D10" s="100"/>
      <c r="E10" s="100"/>
      <c r="F10" s="100" t="s">
        <v>188</v>
      </c>
    </row>
    <row r="11" spans="1:7" s="103" customFormat="1" ht="24.75" customHeight="1" thickBot="1" x14ac:dyDescent="0.25">
      <c r="A11" s="860" t="s">
        <v>349</v>
      </c>
      <c r="B11" s="862" t="s">
        <v>350</v>
      </c>
      <c r="C11" s="864" t="s">
        <v>182</v>
      </c>
      <c r="D11" s="866" t="s">
        <v>11</v>
      </c>
      <c r="E11" s="868" t="s">
        <v>12</v>
      </c>
      <c r="F11" s="869"/>
    </row>
    <row r="12" spans="1:7" s="103" customFormat="1" ht="61.5" customHeight="1" thickBot="1" x14ac:dyDescent="0.25">
      <c r="A12" s="861"/>
      <c r="B12" s="863"/>
      <c r="C12" s="865"/>
      <c r="D12" s="867"/>
      <c r="E12" s="104" t="s">
        <v>10</v>
      </c>
      <c r="F12" s="105" t="s">
        <v>14</v>
      </c>
      <c r="G12" s="106"/>
    </row>
    <row r="13" spans="1:7" s="103" customFormat="1" ht="13.5" customHeight="1" thickBot="1" x14ac:dyDescent="0.25">
      <c r="A13" s="606">
        <v>1</v>
      </c>
      <c r="B13" s="107">
        <v>2</v>
      </c>
      <c r="C13" s="107">
        <v>3</v>
      </c>
      <c r="D13" s="607">
        <v>4</v>
      </c>
      <c r="E13" s="107">
        <v>5</v>
      </c>
      <c r="F13" s="608">
        <v>6</v>
      </c>
      <c r="G13" s="106"/>
    </row>
    <row r="14" spans="1:7" s="103" customFormat="1" ht="19.5" thickBot="1" x14ac:dyDescent="0.25">
      <c r="A14" s="851" t="s">
        <v>351</v>
      </c>
      <c r="B14" s="852"/>
      <c r="C14" s="852"/>
      <c r="D14" s="852"/>
      <c r="E14" s="852"/>
      <c r="F14" s="853"/>
      <c r="G14" s="106"/>
    </row>
    <row r="15" spans="1:7" s="103" customFormat="1" ht="18.75" x14ac:dyDescent="0.2">
      <c r="A15" s="108">
        <v>200000</v>
      </c>
      <c r="B15" s="109" t="s">
        <v>352</v>
      </c>
      <c r="C15" s="593">
        <f>SUM(D15:E15)</f>
        <v>11902151.16</v>
      </c>
      <c r="D15" s="494">
        <f>D16</f>
        <v>6041804.7400000002</v>
      </c>
      <c r="E15" s="495">
        <f>E16</f>
        <v>5860346.4199999999</v>
      </c>
      <c r="F15" s="496">
        <f>F16</f>
        <v>5808883</v>
      </c>
      <c r="G15" s="110"/>
    </row>
    <row r="16" spans="1:7" s="114" customFormat="1" ht="39.75" customHeight="1" x14ac:dyDescent="0.2">
      <c r="A16" s="111">
        <v>208000</v>
      </c>
      <c r="B16" s="112" t="s">
        <v>353</v>
      </c>
      <c r="C16" s="594">
        <f t="shared" ref="C16:C30" si="0">SUM(D16:E16)</f>
        <v>11902151.16</v>
      </c>
      <c r="D16" s="497">
        <f>D19-D22+D26</f>
        <v>6041804.7400000002</v>
      </c>
      <c r="E16" s="498">
        <f>E19-E22+E25+E26</f>
        <v>5860346.4199999999</v>
      </c>
      <c r="F16" s="499">
        <f>F19-F22+F26</f>
        <v>5808883</v>
      </c>
      <c r="G16" s="113"/>
    </row>
    <row r="17" spans="1:8" s="116" customFormat="1" ht="39.6" customHeight="1" x14ac:dyDescent="0.2">
      <c r="A17" s="111"/>
      <c r="B17" s="112" t="s">
        <v>354</v>
      </c>
      <c r="C17" s="594">
        <f>SUM(D17:E17)</f>
        <v>11902151.16</v>
      </c>
      <c r="D17" s="497">
        <f>D19-D22</f>
        <v>11800687.74</v>
      </c>
      <c r="E17" s="498">
        <f>E19-E22+E25</f>
        <v>101463.41999999998</v>
      </c>
      <c r="F17" s="499">
        <f>F19-F22</f>
        <v>50000</v>
      </c>
      <c r="G17" s="115"/>
    </row>
    <row r="18" spans="1:8" s="120" customFormat="1" ht="37.5" x14ac:dyDescent="0.2">
      <c r="A18" s="117"/>
      <c r="B18" s="118" t="s">
        <v>355</v>
      </c>
      <c r="C18" s="595">
        <f t="shared" si="0"/>
        <v>1381362.37</v>
      </c>
      <c r="D18" s="500">
        <f>D20-D23</f>
        <v>1381362.37</v>
      </c>
      <c r="E18" s="501">
        <f>E20-E24</f>
        <v>0</v>
      </c>
      <c r="F18" s="502">
        <f>F20-F24</f>
        <v>0</v>
      </c>
      <c r="G18" s="119"/>
    </row>
    <row r="19" spans="1:8" s="103" customFormat="1" ht="18.75" x14ac:dyDescent="0.2">
      <c r="A19" s="121">
        <v>208100</v>
      </c>
      <c r="B19" s="122" t="s">
        <v>356</v>
      </c>
      <c r="C19" s="596">
        <f t="shared" si="0"/>
        <v>12637958.940000001</v>
      </c>
      <c r="D19" s="503">
        <f>12214785.39+175000</f>
        <v>12389785.390000001</v>
      </c>
      <c r="E19" s="503">
        <f>248173.55</f>
        <v>248173.55</v>
      </c>
      <c r="F19" s="503">
        <f>248173.55-3.69-98911.92-51463.42</f>
        <v>97794.52</v>
      </c>
      <c r="G19" s="110"/>
    </row>
    <row r="20" spans="1:8" s="116" customFormat="1" ht="19.5" x14ac:dyDescent="0.2">
      <c r="A20" s="123"/>
      <c r="B20" s="131" t="s">
        <v>360</v>
      </c>
      <c r="C20" s="597">
        <f t="shared" si="0"/>
        <v>1381362.37</v>
      </c>
      <c r="D20" s="504">
        <v>1381362.37</v>
      </c>
      <c r="E20" s="504"/>
      <c r="F20" s="504"/>
      <c r="G20" s="115"/>
    </row>
    <row r="21" spans="1:8" s="116" customFormat="1" ht="19.5" x14ac:dyDescent="0.2">
      <c r="A21" s="123"/>
      <c r="B21" s="133" t="s">
        <v>370</v>
      </c>
      <c r="C21" s="597">
        <f t="shared" si="0"/>
        <v>482768.36</v>
      </c>
      <c r="D21" s="504">
        <f>76416.22+406352.14</f>
        <v>482768.36</v>
      </c>
      <c r="E21" s="504"/>
      <c r="F21" s="504"/>
      <c r="G21" s="115"/>
    </row>
    <row r="22" spans="1:8" s="103" customFormat="1" ht="18.75" x14ac:dyDescent="0.2">
      <c r="A22" s="121">
        <v>208200</v>
      </c>
      <c r="B22" s="122" t="s">
        <v>357</v>
      </c>
      <c r="C22" s="596">
        <f t="shared" si="0"/>
        <v>735804.09000000055</v>
      </c>
      <c r="D22" s="503">
        <f>12214785.39+175000-5459951-3432969.15-1141319-1696448.59-20000-50000</f>
        <v>589097.65000000061</v>
      </c>
      <c r="E22" s="503">
        <f>248173.55-3.69-50000-51463.42</f>
        <v>146706.44</v>
      </c>
      <c r="F22" s="503">
        <f>248173.55-3.69-98911.92-51463.42-50000</f>
        <v>47794.520000000004</v>
      </c>
      <c r="G22" s="124">
        <f>D22-D24</f>
        <v>182745.51000000059</v>
      </c>
    </row>
    <row r="23" spans="1:8" s="103" customFormat="1" ht="19.5" hidden="1" x14ac:dyDescent="0.2">
      <c r="A23" s="121"/>
      <c r="B23" s="131" t="s">
        <v>360</v>
      </c>
      <c r="C23" s="597">
        <f t="shared" si="0"/>
        <v>0</v>
      </c>
      <c r="D23" s="504">
        <f>1381362.37-1381362.37</f>
        <v>0</v>
      </c>
      <c r="E23" s="504"/>
      <c r="F23" s="504"/>
      <c r="G23" s="124"/>
    </row>
    <row r="24" spans="1:8" s="116" customFormat="1" ht="19.5" x14ac:dyDescent="0.2">
      <c r="A24" s="123"/>
      <c r="B24" s="133" t="s">
        <v>370</v>
      </c>
      <c r="C24" s="597">
        <f t="shared" si="0"/>
        <v>406352.14</v>
      </c>
      <c r="D24" s="504">
        <f>76416.22+406352.14-76416.22</f>
        <v>406352.14</v>
      </c>
      <c r="E24" s="504"/>
      <c r="F24" s="504"/>
      <c r="G24" s="125">
        <f>G22-207.99-175000</f>
        <v>7537.5200000006007</v>
      </c>
    </row>
    <row r="25" spans="1:8" s="116" customFormat="1" ht="19.5" x14ac:dyDescent="0.2">
      <c r="A25" s="123">
        <v>208340</v>
      </c>
      <c r="B25" s="133" t="s">
        <v>736</v>
      </c>
      <c r="C25" s="597">
        <f t="shared" si="0"/>
        <v>-3.69</v>
      </c>
      <c r="D25" s="504"/>
      <c r="E25" s="504">
        <v>-3.69</v>
      </c>
      <c r="F25" s="504"/>
      <c r="G25" s="125"/>
    </row>
    <row r="26" spans="1:8" s="129" customFormat="1" ht="58.5" customHeight="1" x14ac:dyDescent="0.2">
      <c r="A26" s="126">
        <v>208400</v>
      </c>
      <c r="B26" s="127" t="s">
        <v>358</v>
      </c>
      <c r="C26" s="598">
        <f t="shared" si="0"/>
        <v>0</v>
      </c>
      <c r="D26" s="503">
        <f>-E26</f>
        <v>-5758883</v>
      </c>
      <c r="E26" s="503">
        <f>208566+1846751+2830000+305000+20000+1121825+79000-455196-408939+211876</f>
        <v>5758883</v>
      </c>
      <c r="F26" s="503">
        <f>E26</f>
        <v>5758883</v>
      </c>
      <c r="G26" s="128"/>
    </row>
    <row r="27" spans="1:8" s="129" customFormat="1" ht="19.5" hidden="1" x14ac:dyDescent="0.2">
      <c r="A27" s="130"/>
      <c r="B27" s="131" t="s">
        <v>359</v>
      </c>
      <c r="C27" s="599">
        <f t="shared" si="0"/>
        <v>0</v>
      </c>
      <c r="D27" s="505"/>
      <c r="E27" s="504"/>
      <c r="F27" s="506"/>
      <c r="G27" s="128"/>
    </row>
    <row r="28" spans="1:8" s="129" customFormat="1" ht="19.5" hidden="1" x14ac:dyDescent="0.2">
      <c r="A28" s="130"/>
      <c r="B28" s="131" t="s">
        <v>360</v>
      </c>
      <c r="C28" s="599">
        <f t="shared" si="0"/>
        <v>0</v>
      </c>
      <c r="D28" s="503">
        <f>-E28</f>
        <v>0</v>
      </c>
      <c r="E28" s="504"/>
      <c r="F28" s="506">
        <f>E28</f>
        <v>0</v>
      </c>
      <c r="G28" s="128"/>
    </row>
    <row r="29" spans="1:8" s="135" customFormat="1" ht="26.25" thickBot="1" x14ac:dyDescent="0.25">
      <c r="A29" s="132"/>
      <c r="B29" s="133" t="s">
        <v>370</v>
      </c>
      <c r="C29" s="600">
        <f t="shared" si="0"/>
        <v>0</v>
      </c>
      <c r="D29" s="503">
        <f>-E29</f>
        <v>-208566</v>
      </c>
      <c r="E29" s="503">
        <f>208566</f>
        <v>208566</v>
      </c>
      <c r="F29" s="507">
        <f>E29</f>
        <v>208566</v>
      </c>
      <c r="G29" s="128"/>
      <c r="H29" s="134"/>
    </row>
    <row r="30" spans="1:8" s="139" customFormat="1" ht="21" thickBot="1" x14ac:dyDescent="0.25">
      <c r="A30" s="136" t="s">
        <v>345</v>
      </c>
      <c r="B30" s="137" t="s">
        <v>361</v>
      </c>
      <c r="C30" s="601">
        <f t="shared" si="0"/>
        <v>11902151.16</v>
      </c>
      <c r="D30" s="508">
        <f>D15</f>
        <v>6041804.7400000002</v>
      </c>
      <c r="E30" s="509">
        <f>E15</f>
        <v>5860346.4199999999</v>
      </c>
      <c r="F30" s="510">
        <f>F15</f>
        <v>5808883</v>
      </c>
      <c r="G30" s="138"/>
    </row>
    <row r="31" spans="1:8" s="139" customFormat="1" ht="21" thickBot="1" x14ac:dyDescent="0.25">
      <c r="A31" s="851" t="s">
        <v>362</v>
      </c>
      <c r="B31" s="852"/>
      <c r="C31" s="852"/>
      <c r="D31" s="852"/>
      <c r="E31" s="852"/>
      <c r="F31" s="853"/>
      <c r="G31" s="138"/>
    </row>
    <row r="32" spans="1:8" s="103" customFormat="1" ht="37.5" x14ac:dyDescent="0.2">
      <c r="A32" s="108">
        <v>600000</v>
      </c>
      <c r="B32" s="109" t="s">
        <v>363</v>
      </c>
      <c r="C32" s="593">
        <f>SUM(D32:E32)</f>
        <v>11902151.16</v>
      </c>
      <c r="D32" s="494">
        <f>D33</f>
        <v>6041804.7400000002</v>
      </c>
      <c r="E32" s="495">
        <f>E33</f>
        <v>5860346.4199999999</v>
      </c>
      <c r="F32" s="496">
        <f>F33</f>
        <v>5808883</v>
      </c>
      <c r="G32" s="110"/>
    </row>
    <row r="33" spans="1:7" s="114" customFormat="1" ht="28.5" customHeight="1" x14ac:dyDescent="0.2">
      <c r="A33" s="140" t="s">
        <v>364</v>
      </c>
      <c r="B33" s="141" t="s">
        <v>365</v>
      </c>
      <c r="C33" s="602">
        <f t="shared" ref="C33:C46" si="1">SUM(D33:E33)</f>
        <v>11902151.16</v>
      </c>
      <c r="D33" s="513">
        <f>D37-D40+D44</f>
        <v>6041804.7400000002</v>
      </c>
      <c r="E33" s="514">
        <f>E37-E40++E43+E44</f>
        <v>5860346.4199999999</v>
      </c>
      <c r="F33" s="515">
        <f>F37-F40+F44</f>
        <v>5808883</v>
      </c>
      <c r="G33" s="142"/>
    </row>
    <row r="34" spans="1:7" s="116" customFormat="1" ht="43.9" customHeight="1" x14ac:dyDescent="0.2">
      <c r="A34" s="140"/>
      <c r="B34" s="112" t="s">
        <v>354</v>
      </c>
      <c r="C34" s="602">
        <f t="shared" si="1"/>
        <v>11902154.85</v>
      </c>
      <c r="D34" s="513">
        <f t="shared" ref="D34:F35" si="2">D37-D40</f>
        <v>11800687.74</v>
      </c>
      <c r="E34" s="514">
        <f t="shared" si="2"/>
        <v>101467.10999999999</v>
      </c>
      <c r="F34" s="515">
        <f t="shared" si="2"/>
        <v>50000</v>
      </c>
      <c r="G34" s="143"/>
    </row>
    <row r="35" spans="1:7" s="120" customFormat="1" ht="37.5" x14ac:dyDescent="0.2">
      <c r="A35" s="144"/>
      <c r="B35" s="118" t="s">
        <v>366</v>
      </c>
      <c r="C35" s="603">
        <f t="shared" si="1"/>
        <v>1381362.37</v>
      </c>
      <c r="D35" s="505">
        <f t="shared" si="2"/>
        <v>1381362.37</v>
      </c>
      <c r="E35" s="516">
        <f t="shared" si="2"/>
        <v>0</v>
      </c>
      <c r="F35" s="517">
        <f t="shared" si="2"/>
        <v>0</v>
      </c>
      <c r="G35" s="145"/>
    </row>
    <row r="36" spans="1:7" s="120" customFormat="1" ht="37.5" hidden="1" x14ac:dyDescent="0.2">
      <c r="A36" s="144"/>
      <c r="B36" s="118" t="s">
        <v>699</v>
      </c>
      <c r="C36" s="603"/>
      <c r="D36" s="505"/>
      <c r="E36" s="516"/>
      <c r="F36" s="517"/>
      <c r="G36" s="145"/>
    </row>
    <row r="37" spans="1:7" s="103" customFormat="1" ht="18.75" x14ac:dyDescent="0.2">
      <c r="A37" s="146" t="s">
        <v>367</v>
      </c>
      <c r="B37" s="122" t="s">
        <v>356</v>
      </c>
      <c r="C37" s="604">
        <f t="shared" si="1"/>
        <v>12637958.940000001</v>
      </c>
      <c r="D37" s="503">
        <f t="shared" ref="D37:F41" si="3">D19</f>
        <v>12389785.390000001</v>
      </c>
      <c r="E37" s="518">
        <f t="shared" si="3"/>
        <v>248173.55</v>
      </c>
      <c r="F37" s="518">
        <f t="shared" si="3"/>
        <v>97794.52</v>
      </c>
      <c r="G37" s="147"/>
    </row>
    <row r="38" spans="1:7" s="116" customFormat="1" ht="37.5" x14ac:dyDescent="0.2">
      <c r="A38" s="144"/>
      <c r="B38" s="118" t="s">
        <v>366</v>
      </c>
      <c r="C38" s="602">
        <f t="shared" si="1"/>
        <v>1381362.37</v>
      </c>
      <c r="D38" s="504">
        <f t="shared" si="3"/>
        <v>1381362.37</v>
      </c>
      <c r="E38" s="516">
        <f t="shared" si="3"/>
        <v>0</v>
      </c>
      <c r="F38" s="516">
        <f t="shared" si="3"/>
        <v>0</v>
      </c>
      <c r="G38" s="148"/>
    </row>
    <row r="39" spans="1:7" s="116" customFormat="1" ht="37.5" x14ac:dyDescent="0.2">
      <c r="A39" s="144"/>
      <c r="B39" s="118" t="s">
        <v>699</v>
      </c>
      <c r="C39" s="602">
        <f t="shared" si="1"/>
        <v>482768.36</v>
      </c>
      <c r="D39" s="504">
        <f t="shared" si="3"/>
        <v>482768.36</v>
      </c>
      <c r="E39" s="504">
        <f t="shared" si="3"/>
        <v>0</v>
      </c>
      <c r="F39" s="504">
        <f t="shared" si="3"/>
        <v>0</v>
      </c>
      <c r="G39" s="148"/>
    </row>
    <row r="40" spans="1:7" ht="18.75" x14ac:dyDescent="0.2">
      <c r="A40" s="149" t="s">
        <v>368</v>
      </c>
      <c r="B40" s="122" t="s">
        <v>357</v>
      </c>
      <c r="C40" s="604">
        <f t="shared" si="1"/>
        <v>735804.09000000055</v>
      </c>
      <c r="D40" s="503">
        <f t="shared" si="3"/>
        <v>589097.65000000061</v>
      </c>
      <c r="E40" s="518">
        <f t="shared" si="3"/>
        <v>146706.44</v>
      </c>
      <c r="F40" s="518">
        <f t="shared" si="3"/>
        <v>47794.520000000004</v>
      </c>
      <c r="G40" s="150"/>
    </row>
    <row r="41" spans="1:7" s="120" customFormat="1" ht="37.5" x14ac:dyDescent="0.2">
      <c r="A41" s="151"/>
      <c r="B41" s="118" t="s">
        <v>355</v>
      </c>
      <c r="C41" s="602">
        <f t="shared" si="1"/>
        <v>0</v>
      </c>
      <c r="D41" s="504">
        <f t="shared" si="3"/>
        <v>0</v>
      </c>
      <c r="E41" s="504">
        <f t="shared" si="3"/>
        <v>0</v>
      </c>
      <c r="F41" s="504">
        <f t="shared" si="3"/>
        <v>0</v>
      </c>
      <c r="G41" s="145"/>
    </row>
    <row r="42" spans="1:7" s="120" customFormat="1" ht="37.5" x14ac:dyDescent="0.2">
      <c r="A42" s="151"/>
      <c r="B42" s="118" t="s">
        <v>699</v>
      </c>
      <c r="C42" s="602">
        <f t="shared" si="1"/>
        <v>406352.14</v>
      </c>
      <c r="D42" s="504">
        <f>D24</f>
        <v>406352.14</v>
      </c>
      <c r="E42" s="504">
        <f>E24</f>
        <v>0</v>
      </c>
      <c r="F42" s="504">
        <f>F24</f>
        <v>0</v>
      </c>
      <c r="G42" s="145"/>
    </row>
    <row r="43" spans="1:7" s="120" customFormat="1" ht="19.5" x14ac:dyDescent="0.2">
      <c r="A43" s="151" t="s">
        <v>751</v>
      </c>
      <c r="B43" s="133" t="s">
        <v>736</v>
      </c>
      <c r="C43" s="602">
        <f t="shared" si="1"/>
        <v>-3.69</v>
      </c>
      <c r="D43" s="504"/>
      <c r="E43" s="504">
        <f>E25</f>
        <v>-3.69</v>
      </c>
      <c r="F43" s="504"/>
      <c r="G43" s="145"/>
    </row>
    <row r="44" spans="1:7" ht="61.5" customHeight="1" x14ac:dyDescent="0.2">
      <c r="A44" s="149" t="s">
        <v>369</v>
      </c>
      <c r="B44" s="122" t="s">
        <v>358</v>
      </c>
      <c r="C44" s="602">
        <f t="shared" si="1"/>
        <v>0</v>
      </c>
      <c r="D44" s="503">
        <f t="shared" ref="D44:F47" si="4">D26</f>
        <v>-5758883</v>
      </c>
      <c r="E44" s="518">
        <f t="shared" si="4"/>
        <v>5758883</v>
      </c>
      <c r="F44" s="518">
        <f t="shared" si="4"/>
        <v>5758883</v>
      </c>
      <c r="G44" s="150"/>
    </row>
    <row r="45" spans="1:7" s="120" customFormat="1" ht="19.5" hidden="1" x14ac:dyDescent="0.2">
      <c r="A45" s="130"/>
      <c r="B45" s="131" t="s">
        <v>359</v>
      </c>
      <c r="C45" s="602">
        <f t="shared" si="1"/>
        <v>0</v>
      </c>
      <c r="D45" s="505">
        <f t="shared" si="4"/>
        <v>0</v>
      </c>
      <c r="E45" s="516">
        <f t="shared" si="4"/>
        <v>0</v>
      </c>
      <c r="F45" s="517">
        <f t="shared" si="4"/>
        <v>0</v>
      </c>
      <c r="G45" s="145"/>
    </row>
    <row r="46" spans="1:7" s="120" customFormat="1" ht="19.5" hidden="1" x14ac:dyDescent="0.2">
      <c r="A46" s="130"/>
      <c r="B46" s="131" t="s">
        <v>360</v>
      </c>
      <c r="C46" s="602">
        <f t="shared" si="1"/>
        <v>0</v>
      </c>
      <c r="D46" s="505">
        <f t="shared" si="4"/>
        <v>0</v>
      </c>
      <c r="E46" s="516">
        <f t="shared" si="4"/>
        <v>0</v>
      </c>
      <c r="F46" s="517">
        <f t="shared" si="4"/>
        <v>0</v>
      </c>
      <c r="G46" s="145"/>
    </row>
    <row r="47" spans="1:7" ht="19.5" thickBot="1" x14ac:dyDescent="0.25">
      <c r="A47" s="132"/>
      <c r="B47" s="133" t="s">
        <v>370</v>
      </c>
      <c r="C47" s="519"/>
      <c r="D47" s="520">
        <f t="shared" si="4"/>
        <v>-208566</v>
      </c>
      <c r="E47" s="521">
        <f t="shared" si="4"/>
        <v>208566</v>
      </c>
      <c r="F47" s="522">
        <f t="shared" si="4"/>
        <v>208566</v>
      </c>
      <c r="G47" s="150"/>
    </row>
    <row r="48" spans="1:7" s="153" customFormat="1" ht="21" thickBot="1" x14ac:dyDescent="0.25">
      <c r="A48" s="136" t="s">
        <v>345</v>
      </c>
      <c r="B48" s="137" t="s">
        <v>361</v>
      </c>
      <c r="C48" s="523"/>
      <c r="D48" s="524">
        <f>D32</f>
        <v>6041804.7400000002</v>
      </c>
      <c r="E48" s="525">
        <f>E32</f>
        <v>5860346.4199999999</v>
      </c>
      <c r="F48" s="526">
        <f>F32</f>
        <v>5808883</v>
      </c>
      <c r="G48" s="152"/>
    </row>
    <row r="49" spans="1:7" s="103" customFormat="1" ht="18.75" x14ac:dyDescent="0.2">
      <c r="A49" s="154"/>
      <c r="B49" s="155"/>
      <c r="C49" s="156"/>
      <c r="D49" s="157"/>
      <c r="E49" s="157"/>
      <c r="F49" s="157"/>
      <c r="G49" s="158"/>
    </row>
    <row r="50" spans="1:7" ht="18.75" x14ac:dyDescent="0.2">
      <c r="A50" s="854" t="s">
        <v>990</v>
      </c>
      <c r="B50" s="855"/>
      <c r="C50" s="855"/>
      <c r="D50" s="855"/>
      <c r="E50" s="855"/>
      <c r="F50" s="855"/>
      <c r="G50" s="150"/>
    </row>
    <row r="51" spans="1:7" x14ac:dyDescent="0.2">
      <c r="A51" s="159"/>
      <c r="B51" s="160"/>
      <c r="C51" s="161"/>
      <c r="D51" s="161"/>
      <c r="E51" s="161"/>
      <c r="F51" s="161"/>
      <c r="G51" s="150"/>
    </row>
    <row r="52" spans="1:7" s="166" customFormat="1" ht="15.75" x14ac:dyDescent="0.2">
      <c r="A52" s="162"/>
      <c r="B52" s="163"/>
      <c r="C52" s="164"/>
      <c r="D52" s="165"/>
      <c r="E52" s="165"/>
      <c r="F52" s="165"/>
      <c r="G52" s="165"/>
    </row>
    <row r="53" spans="1:7" s="100" customFormat="1" ht="18.75" x14ac:dyDescent="0.2">
      <c r="B53" s="101"/>
      <c r="C53" s="167"/>
    </row>
    <row r="54" spans="1:7" x14ac:dyDescent="0.2">
      <c r="A54" s="168"/>
      <c r="B54" s="169"/>
      <c r="C54" s="170"/>
    </row>
    <row r="55" spans="1:7" x14ac:dyDescent="0.2">
      <c r="A55" s="168"/>
      <c r="B55" s="169"/>
      <c r="C55" s="170"/>
    </row>
    <row r="56" spans="1:7" x14ac:dyDescent="0.2">
      <c r="A56" s="168"/>
      <c r="B56" s="169"/>
      <c r="C56" s="170"/>
    </row>
    <row r="57" spans="1:7" x14ac:dyDescent="0.2">
      <c r="A57" s="168"/>
      <c r="B57" s="169"/>
      <c r="C57" s="170"/>
    </row>
    <row r="58" spans="1:7" x14ac:dyDescent="0.2">
      <c r="A58" s="168"/>
      <c r="B58" s="169"/>
      <c r="C58" s="170"/>
    </row>
    <row r="59" spans="1:7" x14ac:dyDescent="0.2">
      <c r="A59" s="168"/>
      <c r="B59" s="169"/>
      <c r="C59" s="170"/>
    </row>
    <row r="60" spans="1:7" x14ac:dyDescent="0.2">
      <c r="A60" s="168"/>
      <c r="B60" s="169"/>
      <c r="C60" s="170"/>
    </row>
    <row r="61" spans="1:7" x14ac:dyDescent="0.2">
      <c r="B61" s="169"/>
      <c r="C61" s="170"/>
    </row>
    <row r="62" spans="1:7" x14ac:dyDescent="0.2">
      <c r="B62" s="169"/>
      <c r="C62" s="170"/>
    </row>
    <row r="63" spans="1:7" x14ac:dyDescent="0.2">
      <c r="B63" s="169"/>
      <c r="C63" s="170"/>
    </row>
    <row r="64" spans="1:7" x14ac:dyDescent="0.2">
      <c r="B64" s="169"/>
      <c r="C64" s="170"/>
    </row>
    <row r="65" spans="2:3" x14ac:dyDescent="0.2">
      <c r="B65" s="169"/>
      <c r="C65" s="170"/>
    </row>
    <row r="66" spans="2:3" x14ac:dyDescent="0.2">
      <c r="B66" s="169"/>
      <c r="C66" s="170"/>
    </row>
    <row r="67" spans="2:3" x14ac:dyDescent="0.2">
      <c r="B67" s="169"/>
      <c r="C67" s="170"/>
    </row>
    <row r="68" spans="2:3" x14ac:dyDescent="0.2">
      <c r="B68" s="169"/>
      <c r="C68" s="170"/>
    </row>
    <row r="69" spans="2:3" x14ac:dyDescent="0.2">
      <c r="B69" s="169"/>
      <c r="C69" s="170"/>
    </row>
    <row r="70" spans="2:3" x14ac:dyDescent="0.2">
      <c r="B70" s="169"/>
      <c r="C70" s="170"/>
    </row>
    <row r="71" spans="2:3" x14ac:dyDescent="0.2">
      <c r="B71" s="169"/>
      <c r="C71" s="170"/>
    </row>
    <row r="72" spans="2:3" x14ac:dyDescent="0.2">
      <c r="B72" s="169"/>
      <c r="C72" s="170"/>
    </row>
    <row r="73" spans="2:3" x14ac:dyDescent="0.2">
      <c r="B73" s="169"/>
      <c r="C73" s="170"/>
    </row>
    <row r="74" spans="2:3" x14ac:dyDescent="0.2">
      <c r="B74" s="169"/>
      <c r="C74" s="170"/>
    </row>
    <row r="75" spans="2:3" x14ac:dyDescent="0.2">
      <c r="B75" s="169"/>
      <c r="C75" s="170"/>
    </row>
    <row r="76" spans="2:3" x14ac:dyDescent="0.2">
      <c r="B76" s="169"/>
      <c r="C76" s="170"/>
    </row>
    <row r="77" spans="2:3" x14ac:dyDescent="0.2">
      <c r="B77" s="169"/>
      <c r="C77" s="170"/>
    </row>
    <row r="78" spans="2:3" x14ac:dyDescent="0.2">
      <c r="B78" s="169"/>
      <c r="C78" s="170"/>
    </row>
    <row r="79" spans="2:3" x14ac:dyDescent="0.2">
      <c r="B79" s="169"/>
      <c r="C79" s="170"/>
    </row>
    <row r="80" spans="2:3" x14ac:dyDescent="0.2">
      <c r="B80" s="169"/>
      <c r="C80" s="170"/>
    </row>
    <row r="81" spans="2:3" x14ac:dyDescent="0.2">
      <c r="B81" s="169"/>
      <c r="C81" s="170"/>
    </row>
    <row r="82" spans="2:3" x14ac:dyDescent="0.2">
      <c r="B82" s="169"/>
      <c r="C82" s="170"/>
    </row>
    <row r="83" spans="2:3" x14ac:dyDescent="0.2">
      <c r="B83" s="169"/>
      <c r="C83" s="170"/>
    </row>
    <row r="84" spans="2:3" x14ac:dyDescent="0.2">
      <c r="B84" s="169"/>
      <c r="C84" s="170"/>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9"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60"/>
  <sheetViews>
    <sheetView showZeros="0" view="pageBreakPreview" topLeftCell="D149" zoomScale="90" zoomScaleNormal="100" zoomScaleSheetLayoutView="90" workbookViewId="0">
      <selection activeCell="D150" sqref="C150:D150"/>
    </sheetView>
  </sheetViews>
  <sheetFormatPr defaultColWidth="7.85546875" defaultRowHeight="12.75" x14ac:dyDescent="0.2"/>
  <cols>
    <col min="1" max="1" width="3.28515625" style="172" customWidth="1"/>
    <col min="2" max="2" width="11.42578125" style="172" customWidth="1"/>
    <col min="3" max="3" width="10.42578125" style="172" customWidth="1"/>
    <col min="4" max="4" width="10.7109375" style="172" customWidth="1"/>
    <col min="5" max="5" width="52.85546875" style="172" customWidth="1"/>
    <col min="6" max="7" width="14.42578125" style="172" customWidth="1"/>
    <col min="8" max="8" width="13.28515625" style="172" customWidth="1"/>
    <col min="9" max="9" width="10.85546875" style="172" customWidth="1"/>
    <col min="10" max="10" width="7.85546875" style="172" customWidth="1"/>
    <col min="11" max="11" width="13" style="252" customWidth="1"/>
    <col min="12" max="12" width="12.5703125" style="252" customWidth="1"/>
    <col min="13" max="13" width="11.28515625" style="252" hidden="1" customWidth="1"/>
    <col min="14" max="14" width="12.5703125" style="252" customWidth="1"/>
    <col min="15" max="15" width="9.5703125" style="252" customWidth="1"/>
    <col min="16" max="16" width="10" style="252" customWidth="1"/>
    <col min="17" max="17" width="12.5703125" style="252" customWidth="1"/>
    <col min="18" max="18" width="13.140625" style="172" customWidth="1"/>
    <col min="19" max="19" width="16.85546875" style="176" hidden="1" customWidth="1"/>
    <col min="20" max="255" width="7.85546875" style="176"/>
    <col min="256" max="256" width="3.28515625" style="176" customWidth="1"/>
    <col min="257" max="257" width="10.28515625" style="176" customWidth="1"/>
    <col min="258" max="258" width="0" style="176" hidden="1" customWidth="1"/>
    <col min="259" max="259" width="19.5703125" style="176" customWidth="1"/>
    <col min="260" max="260" width="11.7109375" style="176" customWidth="1"/>
    <col min="261" max="261" width="48.42578125" style="176" customWidth="1"/>
    <col min="262" max="262" width="13.140625" style="176" customWidth="1"/>
    <col min="263" max="263" width="12.7109375" style="176" customWidth="1"/>
    <col min="264" max="264" width="11.42578125" style="176" customWidth="1"/>
    <col min="265" max="265" width="10.85546875" style="176" customWidth="1"/>
    <col min="266" max="266" width="7.85546875" style="176" customWidth="1"/>
    <col min="267" max="267" width="9.5703125" style="176" customWidth="1"/>
    <col min="268" max="268" width="9" style="176" customWidth="1"/>
    <col min="269" max="269" width="0" style="176" hidden="1" customWidth="1"/>
    <col min="270" max="270" width="10.5703125" style="176" customWidth="1"/>
    <col min="271" max="271" width="9.5703125" style="176" customWidth="1"/>
    <col min="272" max="272" width="10" style="176" customWidth="1"/>
    <col min="273" max="273" width="9.28515625" style="176" customWidth="1"/>
    <col min="274" max="274" width="11.5703125" style="176" customWidth="1"/>
    <col min="275" max="275" width="0" style="176" hidden="1" customWidth="1"/>
    <col min="276" max="511" width="7.85546875" style="176"/>
    <col min="512" max="512" width="3.28515625" style="176" customWidth="1"/>
    <col min="513" max="513" width="10.28515625" style="176" customWidth="1"/>
    <col min="514" max="514" width="0" style="176" hidden="1" customWidth="1"/>
    <col min="515" max="515" width="19.5703125" style="176" customWidth="1"/>
    <col min="516" max="516" width="11.7109375" style="176" customWidth="1"/>
    <col min="517" max="517" width="48.42578125" style="176" customWidth="1"/>
    <col min="518" max="518" width="13.140625" style="176" customWidth="1"/>
    <col min="519" max="519" width="12.7109375" style="176" customWidth="1"/>
    <col min="520" max="520" width="11.42578125" style="176" customWidth="1"/>
    <col min="521" max="521" width="10.85546875" style="176" customWidth="1"/>
    <col min="522" max="522" width="7.85546875" style="176" customWidth="1"/>
    <col min="523" max="523" width="9.5703125" style="176" customWidth="1"/>
    <col min="524" max="524" width="9" style="176" customWidth="1"/>
    <col min="525" max="525" width="0" style="176" hidden="1" customWidth="1"/>
    <col min="526" max="526" width="10.5703125" style="176" customWidth="1"/>
    <col min="527" max="527" width="9.5703125" style="176" customWidth="1"/>
    <col min="528" max="528" width="10" style="176" customWidth="1"/>
    <col min="529" max="529" width="9.28515625" style="176" customWidth="1"/>
    <col min="530" max="530" width="11.5703125" style="176" customWidth="1"/>
    <col min="531" max="531" width="0" style="176" hidden="1" customWidth="1"/>
    <col min="532" max="767" width="7.85546875" style="176"/>
    <col min="768" max="768" width="3.28515625" style="176" customWidth="1"/>
    <col min="769" max="769" width="10.28515625" style="176" customWidth="1"/>
    <col min="770" max="770" width="0" style="176" hidden="1" customWidth="1"/>
    <col min="771" max="771" width="19.5703125" style="176" customWidth="1"/>
    <col min="772" max="772" width="11.7109375" style="176" customWidth="1"/>
    <col min="773" max="773" width="48.42578125" style="176" customWidth="1"/>
    <col min="774" max="774" width="13.140625" style="176" customWidth="1"/>
    <col min="775" max="775" width="12.7109375" style="176" customWidth="1"/>
    <col min="776" max="776" width="11.42578125" style="176" customWidth="1"/>
    <col min="777" max="777" width="10.85546875" style="176" customWidth="1"/>
    <col min="778" max="778" width="7.85546875" style="176" customWidth="1"/>
    <col min="779" max="779" width="9.5703125" style="176" customWidth="1"/>
    <col min="780" max="780" width="9" style="176" customWidth="1"/>
    <col min="781" max="781" width="0" style="176" hidden="1" customWidth="1"/>
    <col min="782" max="782" width="10.5703125" style="176" customWidth="1"/>
    <col min="783" max="783" width="9.5703125" style="176" customWidth="1"/>
    <col min="784" max="784" width="10" style="176" customWidth="1"/>
    <col min="785" max="785" width="9.28515625" style="176" customWidth="1"/>
    <col min="786" max="786" width="11.5703125" style="176" customWidth="1"/>
    <col min="787" max="787" width="0" style="176" hidden="1" customWidth="1"/>
    <col min="788" max="1023" width="7.85546875" style="176"/>
    <col min="1024" max="1024" width="3.28515625" style="176" customWidth="1"/>
    <col min="1025" max="1025" width="10.28515625" style="176" customWidth="1"/>
    <col min="1026" max="1026" width="0" style="176" hidden="1" customWidth="1"/>
    <col min="1027" max="1027" width="19.5703125" style="176" customWidth="1"/>
    <col min="1028" max="1028" width="11.7109375" style="176" customWidth="1"/>
    <col min="1029" max="1029" width="48.42578125" style="176" customWidth="1"/>
    <col min="1030" max="1030" width="13.140625" style="176" customWidth="1"/>
    <col min="1031" max="1031" width="12.7109375" style="176" customWidth="1"/>
    <col min="1032" max="1032" width="11.42578125" style="176" customWidth="1"/>
    <col min="1033" max="1033" width="10.85546875" style="176" customWidth="1"/>
    <col min="1034" max="1034" width="7.85546875" style="176" customWidth="1"/>
    <col min="1035" max="1035" width="9.5703125" style="176" customWidth="1"/>
    <col min="1036" max="1036" width="9" style="176" customWidth="1"/>
    <col min="1037" max="1037" width="0" style="176" hidden="1" customWidth="1"/>
    <col min="1038" max="1038" width="10.5703125" style="176" customWidth="1"/>
    <col min="1039" max="1039" width="9.5703125" style="176" customWidth="1"/>
    <col min="1040" max="1040" width="10" style="176" customWidth="1"/>
    <col min="1041" max="1041" width="9.28515625" style="176" customWidth="1"/>
    <col min="1042" max="1042" width="11.5703125" style="176" customWidth="1"/>
    <col min="1043" max="1043" width="0" style="176" hidden="1" customWidth="1"/>
    <col min="1044" max="1279" width="7.85546875" style="176"/>
    <col min="1280" max="1280" width="3.28515625" style="176" customWidth="1"/>
    <col min="1281" max="1281" width="10.28515625" style="176" customWidth="1"/>
    <col min="1282" max="1282" width="0" style="176" hidden="1" customWidth="1"/>
    <col min="1283" max="1283" width="19.5703125" style="176" customWidth="1"/>
    <col min="1284" max="1284" width="11.7109375" style="176" customWidth="1"/>
    <col min="1285" max="1285" width="48.42578125" style="176" customWidth="1"/>
    <col min="1286" max="1286" width="13.140625" style="176" customWidth="1"/>
    <col min="1287" max="1287" width="12.7109375" style="176" customWidth="1"/>
    <col min="1288" max="1288" width="11.42578125" style="176" customWidth="1"/>
    <col min="1289" max="1289" width="10.85546875" style="176" customWidth="1"/>
    <col min="1290" max="1290" width="7.85546875" style="176" customWidth="1"/>
    <col min="1291" max="1291" width="9.5703125" style="176" customWidth="1"/>
    <col min="1292" max="1292" width="9" style="176" customWidth="1"/>
    <col min="1293" max="1293" width="0" style="176" hidden="1" customWidth="1"/>
    <col min="1294" max="1294" width="10.5703125" style="176" customWidth="1"/>
    <col min="1295" max="1295" width="9.5703125" style="176" customWidth="1"/>
    <col min="1296" max="1296" width="10" style="176" customWidth="1"/>
    <col min="1297" max="1297" width="9.28515625" style="176" customWidth="1"/>
    <col min="1298" max="1298" width="11.5703125" style="176" customWidth="1"/>
    <col min="1299" max="1299" width="0" style="176" hidden="1" customWidth="1"/>
    <col min="1300" max="1535" width="7.85546875" style="176"/>
    <col min="1536" max="1536" width="3.28515625" style="176" customWidth="1"/>
    <col min="1537" max="1537" width="10.28515625" style="176" customWidth="1"/>
    <col min="1538" max="1538" width="0" style="176" hidden="1" customWidth="1"/>
    <col min="1539" max="1539" width="19.5703125" style="176" customWidth="1"/>
    <col min="1540" max="1540" width="11.7109375" style="176" customWidth="1"/>
    <col min="1541" max="1541" width="48.42578125" style="176" customWidth="1"/>
    <col min="1542" max="1542" width="13.140625" style="176" customWidth="1"/>
    <col min="1543" max="1543" width="12.7109375" style="176" customWidth="1"/>
    <col min="1544" max="1544" width="11.42578125" style="176" customWidth="1"/>
    <col min="1545" max="1545" width="10.85546875" style="176" customWidth="1"/>
    <col min="1546" max="1546" width="7.85546875" style="176" customWidth="1"/>
    <col min="1547" max="1547" width="9.5703125" style="176" customWidth="1"/>
    <col min="1548" max="1548" width="9" style="176" customWidth="1"/>
    <col min="1549" max="1549" width="0" style="176" hidden="1" customWidth="1"/>
    <col min="1550" max="1550" width="10.5703125" style="176" customWidth="1"/>
    <col min="1551" max="1551" width="9.5703125" style="176" customWidth="1"/>
    <col min="1552" max="1552" width="10" style="176" customWidth="1"/>
    <col min="1553" max="1553" width="9.28515625" style="176" customWidth="1"/>
    <col min="1554" max="1554" width="11.5703125" style="176" customWidth="1"/>
    <col min="1555" max="1555" width="0" style="176" hidden="1" customWidth="1"/>
    <col min="1556" max="1791" width="7.85546875" style="176"/>
    <col min="1792" max="1792" width="3.28515625" style="176" customWidth="1"/>
    <col min="1793" max="1793" width="10.28515625" style="176" customWidth="1"/>
    <col min="1794" max="1794" width="0" style="176" hidden="1" customWidth="1"/>
    <col min="1795" max="1795" width="19.5703125" style="176" customWidth="1"/>
    <col min="1796" max="1796" width="11.7109375" style="176" customWidth="1"/>
    <col min="1797" max="1797" width="48.42578125" style="176" customWidth="1"/>
    <col min="1798" max="1798" width="13.140625" style="176" customWidth="1"/>
    <col min="1799" max="1799" width="12.7109375" style="176" customWidth="1"/>
    <col min="1800" max="1800" width="11.42578125" style="176" customWidth="1"/>
    <col min="1801" max="1801" width="10.85546875" style="176" customWidth="1"/>
    <col min="1802" max="1802" width="7.85546875" style="176" customWidth="1"/>
    <col min="1803" max="1803" width="9.5703125" style="176" customWidth="1"/>
    <col min="1804" max="1804" width="9" style="176" customWidth="1"/>
    <col min="1805" max="1805" width="0" style="176" hidden="1" customWidth="1"/>
    <col min="1806" max="1806" width="10.5703125" style="176" customWidth="1"/>
    <col min="1807" max="1807" width="9.5703125" style="176" customWidth="1"/>
    <col min="1808" max="1808" width="10" style="176" customWidth="1"/>
    <col min="1809" max="1809" width="9.28515625" style="176" customWidth="1"/>
    <col min="1810" max="1810" width="11.5703125" style="176" customWidth="1"/>
    <col min="1811" max="1811" width="0" style="176" hidden="1" customWidth="1"/>
    <col min="1812" max="2047" width="7.85546875" style="176"/>
    <col min="2048" max="2048" width="3.28515625" style="176" customWidth="1"/>
    <col min="2049" max="2049" width="10.28515625" style="176" customWidth="1"/>
    <col min="2050" max="2050" width="0" style="176" hidden="1" customWidth="1"/>
    <col min="2051" max="2051" width="19.5703125" style="176" customWidth="1"/>
    <col min="2052" max="2052" width="11.7109375" style="176" customWidth="1"/>
    <col min="2053" max="2053" width="48.42578125" style="176" customWidth="1"/>
    <col min="2054" max="2054" width="13.140625" style="176" customWidth="1"/>
    <col min="2055" max="2055" width="12.7109375" style="176" customWidth="1"/>
    <col min="2056" max="2056" width="11.42578125" style="176" customWidth="1"/>
    <col min="2057" max="2057" width="10.85546875" style="176" customWidth="1"/>
    <col min="2058" max="2058" width="7.85546875" style="176" customWidth="1"/>
    <col min="2059" max="2059" width="9.5703125" style="176" customWidth="1"/>
    <col min="2060" max="2060" width="9" style="176" customWidth="1"/>
    <col min="2061" max="2061" width="0" style="176" hidden="1" customWidth="1"/>
    <col min="2062" max="2062" width="10.5703125" style="176" customWidth="1"/>
    <col min="2063" max="2063" width="9.5703125" style="176" customWidth="1"/>
    <col min="2064" max="2064" width="10" style="176" customWidth="1"/>
    <col min="2065" max="2065" width="9.28515625" style="176" customWidth="1"/>
    <col min="2066" max="2066" width="11.5703125" style="176" customWidth="1"/>
    <col min="2067" max="2067" width="0" style="176" hidden="1" customWidth="1"/>
    <col min="2068" max="2303" width="7.85546875" style="176"/>
    <col min="2304" max="2304" width="3.28515625" style="176" customWidth="1"/>
    <col min="2305" max="2305" width="10.28515625" style="176" customWidth="1"/>
    <col min="2306" max="2306" width="0" style="176" hidden="1" customWidth="1"/>
    <col min="2307" max="2307" width="19.5703125" style="176" customWidth="1"/>
    <col min="2308" max="2308" width="11.7109375" style="176" customWidth="1"/>
    <col min="2309" max="2309" width="48.42578125" style="176" customWidth="1"/>
    <col min="2310" max="2310" width="13.140625" style="176" customWidth="1"/>
    <col min="2311" max="2311" width="12.7109375" style="176" customWidth="1"/>
    <col min="2312" max="2312" width="11.42578125" style="176" customWidth="1"/>
    <col min="2313" max="2313" width="10.85546875" style="176" customWidth="1"/>
    <col min="2314" max="2314" width="7.85546875" style="176" customWidth="1"/>
    <col min="2315" max="2315" width="9.5703125" style="176" customWidth="1"/>
    <col min="2316" max="2316" width="9" style="176" customWidth="1"/>
    <col min="2317" max="2317" width="0" style="176" hidden="1" customWidth="1"/>
    <col min="2318" max="2318" width="10.5703125" style="176" customWidth="1"/>
    <col min="2319" max="2319" width="9.5703125" style="176" customWidth="1"/>
    <col min="2320" max="2320" width="10" style="176" customWidth="1"/>
    <col min="2321" max="2321" width="9.28515625" style="176" customWidth="1"/>
    <col min="2322" max="2322" width="11.5703125" style="176" customWidth="1"/>
    <col min="2323" max="2323" width="0" style="176" hidden="1" customWidth="1"/>
    <col min="2324" max="2559" width="7.85546875" style="176"/>
    <col min="2560" max="2560" width="3.28515625" style="176" customWidth="1"/>
    <col min="2561" max="2561" width="10.28515625" style="176" customWidth="1"/>
    <col min="2562" max="2562" width="0" style="176" hidden="1" customWidth="1"/>
    <col min="2563" max="2563" width="19.5703125" style="176" customWidth="1"/>
    <col min="2564" max="2564" width="11.7109375" style="176" customWidth="1"/>
    <col min="2565" max="2565" width="48.42578125" style="176" customWidth="1"/>
    <col min="2566" max="2566" width="13.140625" style="176" customWidth="1"/>
    <col min="2567" max="2567" width="12.7109375" style="176" customWidth="1"/>
    <col min="2568" max="2568" width="11.42578125" style="176" customWidth="1"/>
    <col min="2569" max="2569" width="10.85546875" style="176" customWidth="1"/>
    <col min="2570" max="2570" width="7.85546875" style="176" customWidth="1"/>
    <col min="2571" max="2571" width="9.5703125" style="176" customWidth="1"/>
    <col min="2572" max="2572" width="9" style="176" customWidth="1"/>
    <col min="2573" max="2573" width="0" style="176" hidden="1" customWidth="1"/>
    <col min="2574" max="2574" width="10.5703125" style="176" customWidth="1"/>
    <col min="2575" max="2575" width="9.5703125" style="176" customWidth="1"/>
    <col min="2576" max="2576" width="10" style="176" customWidth="1"/>
    <col min="2577" max="2577" width="9.28515625" style="176" customWidth="1"/>
    <col min="2578" max="2578" width="11.5703125" style="176" customWidth="1"/>
    <col min="2579" max="2579" width="0" style="176" hidden="1" customWidth="1"/>
    <col min="2580" max="2815" width="7.85546875" style="176"/>
    <col min="2816" max="2816" width="3.28515625" style="176" customWidth="1"/>
    <col min="2817" max="2817" width="10.28515625" style="176" customWidth="1"/>
    <col min="2818" max="2818" width="0" style="176" hidden="1" customWidth="1"/>
    <col min="2819" max="2819" width="19.5703125" style="176" customWidth="1"/>
    <col min="2820" max="2820" width="11.7109375" style="176" customWidth="1"/>
    <col min="2821" max="2821" width="48.42578125" style="176" customWidth="1"/>
    <col min="2822" max="2822" width="13.140625" style="176" customWidth="1"/>
    <col min="2823" max="2823" width="12.7109375" style="176" customWidth="1"/>
    <col min="2824" max="2824" width="11.42578125" style="176" customWidth="1"/>
    <col min="2825" max="2825" width="10.85546875" style="176" customWidth="1"/>
    <col min="2826" max="2826" width="7.85546875" style="176" customWidth="1"/>
    <col min="2827" max="2827" width="9.5703125" style="176" customWidth="1"/>
    <col min="2828" max="2828" width="9" style="176" customWidth="1"/>
    <col min="2829" max="2829" width="0" style="176" hidden="1" customWidth="1"/>
    <col min="2830" max="2830" width="10.5703125" style="176" customWidth="1"/>
    <col min="2831" max="2831" width="9.5703125" style="176" customWidth="1"/>
    <col min="2832" max="2832" width="10" style="176" customWidth="1"/>
    <col min="2833" max="2833" width="9.28515625" style="176" customWidth="1"/>
    <col min="2834" max="2834" width="11.5703125" style="176" customWidth="1"/>
    <col min="2835" max="2835" width="0" style="176" hidden="1" customWidth="1"/>
    <col min="2836" max="3071" width="7.85546875" style="176"/>
    <col min="3072" max="3072" width="3.28515625" style="176" customWidth="1"/>
    <col min="3073" max="3073" width="10.28515625" style="176" customWidth="1"/>
    <col min="3074" max="3074" width="0" style="176" hidden="1" customWidth="1"/>
    <col min="3075" max="3075" width="19.5703125" style="176" customWidth="1"/>
    <col min="3076" max="3076" width="11.7109375" style="176" customWidth="1"/>
    <col min="3077" max="3077" width="48.42578125" style="176" customWidth="1"/>
    <col min="3078" max="3078" width="13.140625" style="176" customWidth="1"/>
    <col min="3079" max="3079" width="12.7109375" style="176" customWidth="1"/>
    <col min="3080" max="3080" width="11.42578125" style="176" customWidth="1"/>
    <col min="3081" max="3081" width="10.85546875" style="176" customWidth="1"/>
    <col min="3082" max="3082" width="7.85546875" style="176" customWidth="1"/>
    <col min="3083" max="3083" width="9.5703125" style="176" customWidth="1"/>
    <col min="3084" max="3084" width="9" style="176" customWidth="1"/>
    <col min="3085" max="3085" width="0" style="176" hidden="1" customWidth="1"/>
    <col min="3086" max="3086" width="10.5703125" style="176" customWidth="1"/>
    <col min="3087" max="3087" width="9.5703125" style="176" customWidth="1"/>
    <col min="3088" max="3088" width="10" style="176" customWidth="1"/>
    <col min="3089" max="3089" width="9.28515625" style="176" customWidth="1"/>
    <col min="3090" max="3090" width="11.5703125" style="176" customWidth="1"/>
    <col min="3091" max="3091" width="0" style="176" hidden="1" customWidth="1"/>
    <col min="3092" max="3327" width="7.85546875" style="176"/>
    <col min="3328" max="3328" width="3.28515625" style="176" customWidth="1"/>
    <col min="3329" max="3329" width="10.28515625" style="176" customWidth="1"/>
    <col min="3330" max="3330" width="0" style="176" hidden="1" customWidth="1"/>
    <col min="3331" max="3331" width="19.5703125" style="176" customWidth="1"/>
    <col min="3332" max="3332" width="11.7109375" style="176" customWidth="1"/>
    <col min="3333" max="3333" width="48.42578125" style="176" customWidth="1"/>
    <col min="3334" max="3334" width="13.140625" style="176" customWidth="1"/>
    <col min="3335" max="3335" width="12.7109375" style="176" customWidth="1"/>
    <col min="3336" max="3336" width="11.42578125" style="176" customWidth="1"/>
    <col min="3337" max="3337" width="10.85546875" style="176" customWidth="1"/>
    <col min="3338" max="3338" width="7.85546875" style="176" customWidth="1"/>
    <col min="3339" max="3339" width="9.5703125" style="176" customWidth="1"/>
    <col min="3340" max="3340" width="9" style="176" customWidth="1"/>
    <col min="3341" max="3341" width="0" style="176" hidden="1" customWidth="1"/>
    <col min="3342" max="3342" width="10.5703125" style="176" customWidth="1"/>
    <col min="3343" max="3343" width="9.5703125" style="176" customWidth="1"/>
    <col min="3344" max="3344" width="10" style="176" customWidth="1"/>
    <col min="3345" max="3345" width="9.28515625" style="176" customWidth="1"/>
    <col min="3346" max="3346" width="11.5703125" style="176" customWidth="1"/>
    <col min="3347" max="3347" width="0" style="176" hidden="1" customWidth="1"/>
    <col min="3348" max="3583" width="7.85546875" style="176"/>
    <col min="3584" max="3584" width="3.28515625" style="176" customWidth="1"/>
    <col min="3585" max="3585" width="10.28515625" style="176" customWidth="1"/>
    <col min="3586" max="3586" width="0" style="176" hidden="1" customWidth="1"/>
    <col min="3587" max="3587" width="19.5703125" style="176" customWidth="1"/>
    <col min="3588" max="3588" width="11.7109375" style="176" customWidth="1"/>
    <col min="3589" max="3589" width="48.42578125" style="176" customWidth="1"/>
    <col min="3590" max="3590" width="13.140625" style="176" customWidth="1"/>
    <col min="3591" max="3591" width="12.7109375" style="176" customWidth="1"/>
    <col min="3592" max="3592" width="11.42578125" style="176" customWidth="1"/>
    <col min="3593" max="3593" width="10.85546875" style="176" customWidth="1"/>
    <col min="3594" max="3594" width="7.85546875" style="176" customWidth="1"/>
    <col min="3595" max="3595" width="9.5703125" style="176" customWidth="1"/>
    <col min="3596" max="3596" width="9" style="176" customWidth="1"/>
    <col min="3597" max="3597" width="0" style="176" hidden="1" customWidth="1"/>
    <col min="3598" max="3598" width="10.5703125" style="176" customWidth="1"/>
    <col min="3599" max="3599" width="9.5703125" style="176" customWidth="1"/>
    <col min="3600" max="3600" width="10" style="176" customWidth="1"/>
    <col min="3601" max="3601" width="9.28515625" style="176" customWidth="1"/>
    <col min="3602" max="3602" width="11.5703125" style="176" customWidth="1"/>
    <col min="3603" max="3603" width="0" style="176" hidden="1" customWidth="1"/>
    <col min="3604" max="3839" width="7.85546875" style="176"/>
    <col min="3840" max="3840" width="3.28515625" style="176" customWidth="1"/>
    <col min="3841" max="3841" width="10.28515625" style="176" customWidth="1"/>
    <col min="3842" max="3842" width="0" style="176" hidden="1" customWidth="1"/>
    <col min="3843" max="3843" width="19.5703125" style="176" customWidth="1"/>
    <col min="3844" max="3844" width="11.7109375" style="176" customWidth="1"/>
    <col min="3845" max="3845" width="48.42578125" style="176" customWidth="1"/>
    <col min="3846" max="3846" width="13.140625" style="176" customWidth="1"/>
    <col min="3847" max="3847" width="12.7109375" style="176" customWidth="1"/>
    <col min="3848" max="3848" width="11.42578125" style="176" customWidth="1"/>
    <col min="3849" max="3849" width="10.85546875" style="176" customWidth="1"/>
    <col min="3850" max="3850" width="7.85546875" style="176" customWidth="1"/>
    <col min="3851" max="3851" width="9.5703125" style="176" customWidth="1"/>
    <col min="3852" max="3852" width="9" style="176" customWidth="1"/>
    <col min="3853" max="3853" width="0" style="176" hidden="1" customWidth="1"/>
    <col min="3854" max="3854" width="10.5703125" style="176" customWidth="1"/>
    <col min="3855" max="3855" width="9.5703125" style="176" customWidth="1"/>
    <col min="3856" max="3856" width="10" style="176" customWidth="1"/>
    <col min="3857" max="3857" width="9.28515625" style="176" customWidth="1"/>
    <col min="3858" max="3858" width="11.5703125" style="176" customWidth="1"/>
    <col min="3859" max="3859" width="0" style="176" hidden="1" customWidth="1"/>
    <col min="3860" max="4095" width="7.85546875" style="176"/>
    <col min="4096" max="4096" width="3.28515625" style="176" customWidth="1"/>
    <col min="4097" max="4097" width="10.28515625" style="176" customWidth="1"/>
    <col min="4098" max="4098" width="0" style="176" hidden="1" customWidth="1"/>
    <col min="4099" max="4099" width="19.5703125" style="176" customWidth="1"/>
    <col min="4100" max="4100" width="11.7109375" style="176" customWidth="1"/>
    <col min="4101" max="4101" width="48.42578125" style="176" customWidth="1"/>
    <col min="4102" max="4102" width="13.140625" style="176" customWidth="1"/>
    <col min="4103" max="4103" width="12.7109375" style="176" customWidth="1"/>
    <col min="4104" max="4104" width="11.42578125" style="176" customWidth="1"/>
    <col min="4105" max="4105" width="10.85546875" style="176" customWidth="1"/>
    <col min="4106" max="4106" width="7.85546875" style="176" customWidth="1"/>
    <col min="4107" max="4107" width="9.5703125" style="176" customWidth="1"/>
    <col min="4108" max="4108" width="9" style="176" customWidth="1"/>
    <col min="4109" max="4109" width="0" style="176" hidden="1" customWidth="1"/>
    <col min="4110" max="4110" width="10.5703125" style="176" customWidth="1"/>
    <col min="4111" max="4111" width="9.5703125" style="176" customWidth="1"/>
    <col min="4112" max="4112" width="10" style="176" customWidth="1"/>
    <col min="4113" max="4113" width="9.28515625" style="176" customWidth="1"/>
    <col min="4114" max="4114" width="11.5703125" style="176" customWidth="1"/>
    <col min="4115" max="4115" width="0" style="176" hidden="1" customWidth="1"/>
    <col min="4116" max="4351" width="7.85546875" style="176"/>
    <col min="4352" max="4352" width="3.28515625" style="176" customWidth="1"/>
    <col min="4353" max="4353" width="10.28515625" style="176" customWidth="1"/>
    <col min="4354" max="4354" width="0" style="176" hidden="1" customWidth="1"/>
    <col min="4355" max="4355" width="19.5703125" style="176" customWidth="1"/>
    <col min="4356" max="4356" width="11.7109375" style="176" customWidth="1"/>
    <col min="4357" max="4357" width="48.42578125" style="176" customWidth="1"/>
    <col min="4358" max="4358" width="13.140625" style="176" customWidth="1"/>
    <col min="4359" max="4359" width="12.7109375" style="176" customWidth="1"/>
    <col min="4360" max="4360" width="11.42578125" style="176" customWidth="1"/>
    <col min="4361" max="4361" width="10.85546875" style="176" customWidth="1"/>
    <col min="4362" max="4362" width="7.85546875" style="176" customWidth="1"/>
    <col min="4363" max="4363" width="9.5703125" style="176" customWidth="1"/>
    <col min="4364" max="4364" width="9" style="176" customWidth="1"/>
    <col min="4365" max="4365" width="0" style="176" hidden="1" customWidth="1"/>
    <col min="4366" max="4366" width="10.5703125" style="176" customWidth="1"/>
    <col min="4367" max="4367" width="9.5703125" style="176" customWidth="1"/>
    <col min="4368" max="4368" width="10" style="176" customWidth="1"/>
    <col min="4369" max="4369" width="9.28515625" style="176" customWidth="1"/>
    <col min="4370" max="4370" width="11.5703125" style="176" customWidth="1"/>
    <col min="4371" max="4371" width="0" style="176" hidden="1" customWidth="1"/>
    <col min="4372" max="4607" width="7.85546875" style="176"/>
    <col min="4608" max="4608" width="3.28515625" style="176" customWidth="1"/>
    <col min="4609" max="4609" width="10.28515625" style="176" customWidth="1"/>
    <col min="4610" max="4610" width="0" style="176" hidden="1" customWidth="1"/>
    <col min="4611" max="4611" width="19.5703125" style="176" customWidth="1"/>
    <col min="4612" max="4612" width="11.7109375" style="176" customWidth="1"/>
    <col min="4613" max="4613" width="48.42578125" style="176" customWidth="1"/>
    <col min="4614" max="4614" width="13.140625" style="176" customWidth="1"/>
    <col min="4615" max="4615" width="12.7109375" style="176" customWidth="1"/>
    <col min="4616" max="4616" width="11.42578125" style="176" customWidth="1"/>
    <col min="4617" max="4617" width="10.85546875" style="176" customWidth="1"/>
    <col min="4618" max="4618" width="7.85546875" style="176" customWidth="1"/>
    <col min="4619" max="4619" width="9.5703125" style="176" customWidth="1"/>
    <col min="4620" max="4620" width="9" style="176" customWidth="1"/>
    <col min="4621" max="4621" width="0" style="176" hidden="1" customWidth="1"/>
    <col min="4622" max="4622" width="10.5703125" style="176" customWidth="1"/>
    <col min="4623" max="4623" width="9.5703125" style="176" customWidth="1"/>
    <col min="4624" max="4624" width="10" style="176" customWidth="1"/>
    <col min="4625" max="4625" width="9.28515625" style="176" customWidth="1"/>
    <col min="4626" max="4626" width="11.5703125" style="176" customWidth="1"/>
    <col min="4627" max="4627" width="0" style="176" hidden="1" customWidth="1"/>
    <col min="4628" max="4863" width="7.85546875" style="176"/>
    <col min="4864" max="4864" width="3.28515625" style="176" customWidth="1"/>
    <col min="4865" max="4865" width="10.28515625" style="176" customWidth="1"/>
    <col min="4866" max="4866" width="0" style="176" hidden="1" customWidth="1"/>
    <col min="4867" max="4867" width="19.5703125" style="176" customWidth="1"/>
    <col min="4868" max="4868" width="11.7109375" style="176" customWidth="1"/>
    <col min="4869" max="4869" width="48.42578125" style="176" customWidth="1"/>
    <col min="4870" max="4870" width="13.140625" style="176" customWidth="1"/>
    <col min="4871" max="4871" width="12.7109375" style="176" customWidth="1"/>
    <col min="4872" max="4872" width="11.42578125" style="176" customWidth="1"/>
    <col min="4873" max="4873" width="10.85546875" style="176" customWidth="1"/>
    <col min="4874" max="4874" width="7.85546875" style="176" customWidth="1"/>
    <col min="4875" max="4875" width="9.5703125" style="176" customWidth="1"/>
    <col min="4876" max="4876" width="9" style="176" customWidth="1"/>
    <col min="4877" max="4877" width="0" style="176" hidden="1" customWidth="1"/>
    <col min="4878" max="4878" width="10.5703125" style="176" customWidth="1"/>
    <col min="4879" max="4879" width="9.5703125" style="176" customWidth="1"/>
    <col min="4880" max="4880" width="10" style="176" customWidth="1"/>
    <col min="4881" max="4881" width="9.28515625" style="176" customWidth="1"/>
    <col min="4882" max="4882" width="11.5703125" style="176" customWidth="1"/>
    <col min="4883" max="4883" width="0" style="176" hidden="1" customWidth="1"/>
    <col min="4884" max="5119" width="7.85546875" style="176"/>
    <col min="5120" max="5120" width="3.28515625" style="176" customWidth="1"/>
    <col min="5121" max="5121" width="10.28515625" style="176" customWidth="1"/>
    <col min="5122" max="5122" width="0" style="176" hidden="1" customWidth="1"/>
    <col min="5123" max="5123" width="19.5703125" style="176" customWidth="1"/>
    <col min="5124" max="5124" width="11.7109375" style="176" customWidth="1"/>
    <col min="5125" max="5125" width="48.42578125" style="176" customWidth="1"/>
    <col min="5126" max="5126" width="13.140625" style="176" customWidth="1"/>
    <col min="5127" max="5127" width="12.7109375" style="176" customWidth="1"/>
    <col min="5128" max="5128" width="11.42578125" style="176" customWidth="1"/>
    <col min="5129" max="5129" width="10.85546875" style="176" customWidth="1"/>
    <col min="5130" max="5130" width="7.85546875" style="176" customWidth="1"/>
    <col min="5131" max="5131" width="9.5703125" style="176" customWidth="1"/>
    <col min="5132" max="5132" width="9" style="176" customWidth="1"/>
    <col min="5133" max="5133" width="0" style="176" hidden="1" customWidth="1"/>
    <col min="5134" max="5134" width="10.5703125" style="176" customWidth="1"/>
    <col min="5135" max="5135" width="9.5703125" style="176" customWidth="1"/>
    <col min="5136" max="5136" width="10" style="176" customWidth="1"/>
    <col min="5137" max="5137" width="9.28515625" style="176" customWidth="1"/>
    <col min="5138" max="5138" width="11.5703125" style="176" customWidth="1"/>
    <col min="5139" max="5139" width="0" style="176" hidden="1" customWidth="1"/>
    <col min="5140" max="5375" width="7.85546875" style="176"/>
    <col min="5376" max="5376" width="3.28515625" style="176" customWidth="1"/>
    <col min="5377" max="5377" width="10.28515625" style="176" customWidth="1"/>
    <col min="5378" max="5378" width="0" style="176" hidden="1" customWidth="1"/>
    <col min="5379" max="5379" width="19.5703125" style="176" customWidth="1"/>
    <col min="5380" max="5380" width="11.7109375" style="176" customWidth="1"/>
    <col min="5381" max="5381" width="48.42578125" style="176" customWidth="1"/>
    <col min="5382" max="5382" width="13.140625" style="176" customWidth="1"/>
    <col min="5383" max="5383" width="12.7109375" style="176" customWidth="1"/>
    <col min="5384" max="5384" width="11.42578125" style="176" customWidth="1"/>
    <col min="5385" max="5385" width="10.85546875" style="176" customWidth="1"/>
    <col min="5386" max="5386" width="7.85546875" style="176" customWidth="1"/>
    <col min="5387" max="5387" width="9.5703125" style="176" customWidth="1"/>
    <col min="5388" max="5388" width="9" style="176" customWidth="1"/>
    <col min="5389" max="5389" width="0" style="176" hidden="1" customWidth="1"/>
    <col min="5390" max="5390" width="10.5703125" style="176" customWidth="1"/>
    <col min="5391" max="5391" width="9.5703125" style="176" customWidth="1"/>
    <col min="5392" max="5392" width="10" style="176" customWidth="1"/>
    <col min="5393" max="5393" width="9.28515625" style="176" customWidth="1"/>
    <col min="5394" max="5394" width="11.5703125" style="176" customWidth="1"/>
    <col min="5395" max="5395" width="0" style="176" hidden="1" customWidth="1"/>
    <col min="5396" max="5631" width="7.85546875" style="176"/>
    <col min="5632" max="5632" width="3.28515625" style="176" customWidth="1"/>
    <col min="5633" max="5633" width="10.28515625" style="176" customWidth="1"/>
    <col min="5634" max="5634" width="0" style="176" hidden="1" customWidth="1"/>
    <col min="5635" max="5635" width="19.5703125" style="176" customWidth="1"/>
    <col min="5636" max="5636" width="11.7109375" style="176" customWidth="1"/>
    <col min="5637" max="5637" width="48.42578125" style="176" customWidth="1"/>
    <col min="5638" max="5638" width="13.140625" style="176" customWidth="1"/>
    <col min="5639" max="5639" width="12.7109375" style="176" customWidth="1"/>
    <col min="5640" max="5640" width="11.42578125" style="176" customWidth="1"/>
    <col min="5641" max="5641" width="10.85546875" style="176" customWidth="1"/>
    <col min="5642" max="5642" width="7.85546875" style="176" customWidth="1"/>
    <col min="5643" max="5643" width="9.5703125" style="176" customWidth="1"/>
    <col min="5644" max="5644" width="9" style="176" customWidth="1"/>
    <col min="5645" max="5645" width="0" style="176" hidden="1" customWidth="1"/>
    <col min="5646" max="5646" width="10.5703125" style="176" customWidth="1"/>
    <col min="5647" max="5647" width="9.5703125" style="176" customWidth="1"/>
    <col min="5648" max="5648" width="10" style="176" customWidth="1"/>
    <col min="5649" max="5649" width="9.28515625" style="176" customWidth="1"/>
    <col min="5650" max="5650" width="11.5703125" style="176" customWidth="1"/>
    <col min="5651" max="5651" width="0" style="176" hidden="1" customWidth="1"/>
    <col min="5652" max="5887" width="7.85546875" style="176"/>
    <col min="5888" max="5888" width="3.28515625" style="176" customWidth="1"/>
    <col min="5889" max="5889" width="10.28515625" style="176" customWidth="1"/>
    <col min="5890" max="5890" width="0" style="176" hidden="1" customWidth="1"/>
    <col min="5891" max="5891" width="19.5703125" style="176" customWidth="1"/>
    <col min="5892" max="5892" width="11.7109375" style="176" customWidth="1"/>
    <col min="5893" max="5893" width="48.42578125" style="176" customWidth="1"/>
    <col min="5894" max="5894" width="13.140625" style="176" customWidth="1"/>
    <col min="5895" max="5895" width="12.7109375" style="176" customWidth="1"/>
    <col min="5896" max="5896" width="11.42578125" style="176" customWidth="1"/>
    <col min="5897" max="5897" width="10.85546875" style="176" customWidth="1"/>
    <col min="5898" max="5898" width="7.85546875" style="176" customWidth="1"/>
    <col min="5899" max="5899" width="9.5703125" style="176" customWidth="1"/>
    <col min="5900" max="5900" width="9" style="176" customWidth="1"/>
    <col min="5901" max="5901" width="0" style="176" hidden="1" customWidth="1"/>
    <col min="5902" max="5902" width="10.5703125" style="176" customWidth="1"/>
    <col min="5903" max="5903" width="9.5703125" style="176" customWidth="1"/>
    <col min="5904" max="5904" width="10" style="176" customWidth="1"/>
    <col min="5905" max="5905" width="9.28515625" style="176" customWidth="1"/>
    <col min="5906" max="5906" width="11.5703125" style="176" customWidth="1"/>
    <col min="5907" max="5907" width="0" style="176" hidden="1" customWidth="1"/>
    <col min="5908" max="6143" width="7.85546875" style="176"/>
    <col min="6144" max="6144" width="3.28515625" style="176" customWidth="1"/>
    <col min="6145" max="6145" width="10.28515625" style="176" customWidth="1"/>
    <col min="6146" max="6146" width="0" style="176" hidden="1" customWidth="1"/>
    <col min="6147" max="6147" width="19.5703125" style="176" customWidth="1"/>
    <col min="6148" max="6148" width="11.7109375" style="176" customWidth="1"/>
    <col min="6149" max="6149" width="48.42578125" style="176" customWidth="1"/>
    <col min="6150" max="6150" width="13.140625" style="176" customWidth="1"/>
    <col min="6151" max="6151" width="12.7109375" style="176" customWidth="1"/>
    <col min="6152" max="6152" width="11.42578125" style="176" customWidth="1"/>
    <col min="6153" max="6153" width="10.85546875" style="176" customWidth="1"/>
    <col min="6154" max="6154" width="7.85546875" style="176" customWidth="1"/>
    <col min="6155" max="6155" width="9.5703125" style="176" customWidth="1"/>
    <col min="6156" max="6156" width="9" style="176" customWidth="1"/>
    <col min="6157" max="6157" width="0" style="176" hidden="1" customWidth="1"/>
    <col min="6158" max="6158" width="10.5703125" style="176" customWidth="1"/>
    <col min="6159" max="6159" width="9.5703125" style="176" customWidth="1"/>
    <col min="6160" max="6160" width="10" style="176" customWidth="1"/>
    <col min="6161" max="6161" width="9.28515625" style="176" customWidth="1"/>
    <col min="6162" max="6162" width="11.5703125" style="176" customWidth="1"/>
    <col min="6163" max="6163" width="0" style="176" hidden="1" customWidth="1"/>
    <col min="6164" max="6399" width="7.85546875" style="176"/>
    <col min="6400" max="6400" width="3.28515625" style="176" customWidth="1"/>
    <col min="6401" max="6401" width="10.28515625" style="176" customWidth="1"/>
    <col min="6402" max="6402" width="0" style="176" hidden="1" customWidth="1"/>
    <col min="6403" max="6403" width="19.5703125" style="176" customWidth="1"/>
    <col min="6404" max="6404" width="11.7109375" style="176" customWidth="1"/>
    <col min="6405" max="6405" width="48.42578125" style="176" customWidth="1"/>
    <col min="6406" max="6406" width="13.140625" style="176" customWidth="1"/>
    <col min="6407" max="6407" width="12.7109375" style="176" customWidth="1"/>
    <col min="6408" max="6408" width="11.42578125" style="176" customWidth="1"/>
    <col min="6409" max="6409" width="10.85546875" style="176" customWidth="1"/>
    <col min="6410" max="6410" width="7.85546875" style="176" customWidth="1"/>
    <col min="6411" max="6411" width="9.5703125" style="176" customWidth="1"/>
    <col min="6412" max="6412" width="9" style="176" customWidth="1"/>
    <col min="6413" max="6413" width="0" style="176" hidden="1" customWidth="1"/>
    <col min="6414" max="6414" width="10.5703125" style="176" customWidth="1"/>
    <col min="6415" max="6415" width="9.5703125" style="176" customWidth="1"/>
    <col min="6416" max="6416" width="10" style="176" customWidth="1"/>
    <col min="6417" max="6417" width="9.28515625" style="176" customWidth="1"/>
    <col min="6418" max="6418" width="11.5703125" style="176" customWidth="1"/>
    <col min="6419" max="6419" width="0" style="176" hidden="1" customWidth="1"/>
    <col min="6420" max="6655" width="7.85546875" style="176"/>
    <col min="6656" max="6656" width="3.28515625" style="176" customWidth="1"/>
    <col min="6657" max="6657" width="10.28515625" style="176" customWidth="1"/>
    <col min="6658" max="6658" width="0" style="176" hidden="1" customWidth="1"/>
    <col min="6659" max="6659" width="19.5703125" style="176" customWidth="1"/>
    <col min="6660" max="6660" width="11.7109375" style="176" customWidth="1"/>
    <col min="6661" max="6661" width="48.42578125" style="176" customWidth="1"/>
    <col min="6662" max="6662" width="13.140625" style="176" customWidth="1"/>
    <col min="6663" max="6663" width="12.7109375" style="176" customWidth="1"/>
    <col min="6664" max="6664" width="11.42578125" style="176" customWidth="1"/>
    <col min="6665" max="6665" width="10.85546875" style="176" customWidth="1"/>
    <col min="6666" max="6666" width="7.85546875" style="176" customWidth="1"/>
    <col min="6667" max="6667" width="9.5703125" style="176" customWidth="1"/>
    <col min="6668" max="6668" width="9" style="176" customWidth="1"/>
    <col min="6669" max="6669" width="0" style="176" hidden="1" customWidth="1"/>
    <col min="6670" max="6670" width="10.5703125" style="176" customWidth="1"/>
    <col min="6671" max="6671" width="9.5703125" style="176" customWidth="1"/>
    <col min="6672" max="6672" width="10" style="176" customWidth="1"/>
    <col min="6673" max="6673" width="9.28515625" style="176" customWidth="1"/>
    <col min="6674" max="6674" width="11.5703125" style="176" customWidth="1"/>
    <col min="6675" max="6675" width="0" style="176" hidden="1" customWidth="1"/>
    <col min="6676" max="6911" width="7.85546875" style="176"/>
    <col min="6912" max="6912" width="3.28515625" style="176" customWidth="1"/>
    <col min="6913" max="6913" width="10.28515625" style="176" customWidth="1"/>
    <col min="6914" max="6914" width="0" style="176" hidden="1" customWidth="1"/>
    <col min="6915" max="6915" width="19.5703125" style="176" customWidth="1"/>
    <col min="6916" max="6916" width="11.7109375" style="176" customWidth="1"/>
    <col min="6917" max="6917" width="48.42578125" style="176" customWidth="1"/>
    <col min="6918" max="6918" width="13.140625" style="176" customWidth="1"/>
    <col min="6919" max="6919" width="12.7109375" style="176" customWidth="1"/>
    <col min="6920" max="6920" width="11.42578125" style="176" customWidth="1"/>
    <col min="6921" max="6921" width="10.85546875" style="176" customWidth="1"/>
    <col min="6922" max="6922" width="7.85546875" style="176" customWidth="1"/>
    <col min="6923" max="6923" width="9.5703125" style="176" customWidth="1"/>
    <col min="6924" max="6924" width="9" style="176" customWidth="1"/>
    <col min="6925" max="6925" width="0" style="176" hidden="1" customWidth="1"/>
    <col min="6926" max="6926" width="10.5703125" style="176" customWidth="1"/>
    <col min="6927" max="6927" width="9.5703125" style="176" customWidth="1"/>
    <col min="6928" max="6928" width="10" style="176" customWidth="1"/>
    <col min="6929" max="6929" width="9.28515625" style="176" customWidth="1"/>
    <col min="6930" max="6930" width="11.5703125" style="176" customWidth="1"/>
    <col min="6931" max="6931" width="0" style="176" hidden="1" customWidth="1"/>
    <col min="6932" max="7167" width="7.85546875" style="176"/>
    <col min="7168" max="7168" width="3.28515625" style="176" customWidth="1"/>
    <col min="7169" max="7169" width="10.28515625" style="176" customWidth="1"/>
    <col min="7170" max="7170" width="0" style="176" hidden="1" customWidth="1"/>
    <col min="7171" max="7171" width="19.5703125" style="176" customWidth="1"/>
    <col min="7172" max="7172" width="11.7109375" style="176" customWidth="1"/>
    <col min="7173" max="7173" width="48.42578125" style="176" customWidth="1"/>
    <col min="7174" max="7174" width="13.140625" style="176" customWidth="1"/>
    <col min="7175" max="7175" width="12.7109375" style="176" customWidth="1"/>
    <col min="7176" max="7176" width="11.42578125" style="176" customWidth="1"/>
    <col min="7177" max="7177" width="10.85546875" style="176" customWidth="1"/>
    <col min="7178" max="7178" width="7.85546875" style="176" customWidth="1"/>
    <col min="7179" max="7179" width="9.5703125" style="176" customWidth="1"/>
    <col min="7180" max="7180" width="9" style="176" customWidth="1"/>
    <col min="7181" max="7181" width="0" style="176" hidden="1" customWidth="1"/>
    <col min="7182" max="7182" width="10.5703125" style="176" customWidth="1"/>
    <col min="7183" max="7183" width="9.5703125" style="176" customWidth="1"/>
    <col min="7184" max="7184" width="10" style="176" customWidth="1"/>
    <col min="7185" max="7185" width="9.28515625" style="176" customWidth="1"/>
    <col min="7186" max="7186" width="11.5703125" style="176" customWidth="1"/>
    <col min="7187" max="7187" width="0" style="176" hidden="1" customWidth="1"/>
    <col min="7188" max="7423" width="7.85546875" style="176"/>
    <col min="7424" max="7424" width="3.28515625" style="176" customWidth="1"/>
    <col min="7425" max="7425" width="10.28515625" style="176" customWidth="1"/>
    <col min="7426" max="7426" width="0" style="176" hidden="1" customWidth="1"/>
    <col min="7427" max="7427" width="19.5703125" style="176" customWidth="1"/>
    <col min="7428" max="7428" width="11.7109375" style="176" customWidth="1"/>
    <col min="7429" max="7429" width="48.42578125" style="176" customWidth="1"/>
    <col min="7430" max="7430" width="13.140625" style="176" customWidth="1"/>
    <col min="7431" max="7431" width="12.7109375" style="176" customWidth="1"/>
    <col min="7432" max="7432" width="11.42578125" style="176" customWidth="1"/>
    <col min="7433" max="7433" width="10.85546875" style="176" customWidth="1"/>
    <col min="7434" max="7434" width="7.85546875" style="176" customWidth="1"/>
    <col min="7435" max="7435" width="9.5703125" style="176" customWidth="1"/>
    <col min="7436" max="7436" width="9" style="176" customWidth="1"/>
    <col min="7437" max="7437" width="0" style="176" hidden="1" customWidth="1"/>
    <col min="7438" max="7438" width="10.5703125" style="176" customWidth="1"/>
    <col min="7439" max="7439" width="9.5703125" style="176" customWidth="1"/>
    <col min="7440" max="7440" width="10" style="176" customWidth="1"/>
    <col min="7441" max="7441" width="9.28515625" style="176" customWidth="1"/>
    <col min="7442" max="7442" width="11.5703125" style="176" customWidth="1"/>
    <col min="7443" max="7443" width="0" style="176" hidden="1" customWidth="1"/>
    <col min="7444" max="7679" width="7.85546875" style="176"/>
    <col min="7680" max="7680" width="3.28515625" style="176" customWidth="1"/>
    <col min="7681" max="7681" width="10.28515625" style="176" customWidth="1"/>
    <col min="7682" max="7682" width="0" style="176" hidden="1" customWidth="1"/>
    <col min="7683" max="7683" width="19.5703125" style="176" customWidth="1"/>
    <col min="7684" max="7684" width="11.7109375" style="176" customWidth="1"/>
    <col min="7685" max="7685" width="48.42578125" style="176" customWidth="1"/>
    <col min="7686" max="7686" width="13.140625" style="176" customWidth="1"/>
    <col min="7687" max="7687" width="12.7109375" style="176" customWidth="1"/>
    <col min="7688" max="7688" width="11.42578125" style="176" customWidth="1"/>
    <col min="7689" max="7689" width="10.85546875" style="176" customWidth="1"/>
    <col min="7690" max="7690" width="7.85546875" style="176" customWidth="1"/>
    <col min="7691" max="7691" width="9.5703125" style="176" customWidth="1"/>
    <col min="7692" max="7692" width="9" style="176" customWidth="1"/>
    <col min="7693" max="7693" width="0" style="176" hidden="1" customWidth="1"/>
    <col min="7694" max="7694" width="10.5703125" style="176" customWidth="1"/>
    <col min="7695" max="7695" width="9.5703125" style="176" customWidth="1"/>
    <col min="7696" max="7696" width="10" style="176" customWidth="1"/>
    <col min="7697" max="7697" width="9.28515625" style="176" customWidth="1"/>
    <col min="7698" max="7698" width="11.5703125" style="176" customWidth="1"/>
    <col min="7699" max="7699" width="0" style="176" hidden="1" customWidth="1"/>
    <col min="7700" max="7935" width="7.85546875" style="176"/>
    <col min="7936" max="7936" width="3.28515625" style="176" customWidth="1"/>
    <col min="7937" max="7937" width="10.28515625" style="176" customWidth="1"/>
    <col min="7938" max="7938" width="0" style="176" hidden="1" customWidth="1"/>
    <col min="7939" max="7939" width="19.5703125" style="176" customWidth="1"/>
    <col min="7940" max="7940" width="11.7109375" style="176" customWidth="1"/>
    <col min="7941" max="7941" width="48.42578125" style="176" customWidth="1"/>
    <col min="7942" max="7942" width="13.140625" style="176" customWidth="1"/>
    <col min="7943" max="7943" width="12.7109375" style="176" customWidth="1"/>
    <col min="7944" max="7944" width="11.42578125" style="176" customWidth="1"/>
    <col min="7945" max="7945" width="10.85546875" style="176" customWidth="1"/>
    <col min="7946" max="7946" width="7.85546875" style="176" customWidth="1"/>
    <col min="7947" max="7947" width="9.5703125" style="176" customWidth="1"/>
    <col min="7948" max="7948" width="9" style="176" customWidth="1"/>
    <col min="7949" max="7949" width="0" style="176" hidden="1" customWidth="1"/>
    <col min="7950" max="7950" width="10.5703125" style="176" customWidth="1"/>
    <col min="7951" max="7951" width="9.5703125" style="176" customWidth="1"/>
    <col min="7952" max="7952" width="10" style="176" customWidth="1"/>
    <col min="7953" max="7953" width="9.28515625" style="176" customWidth="1"/>
    <col min="7954" max="7954" width="11.5703125" style="176" customWidth="1"/>
    <col min="7955" max="7955" width="0" style="176" hidden="1" customWidth="1"/>
    <col min="7956" max="8191" width="7.85546875" style="176"/>
    <col min="8192" max="8192" width="3.28515625" style="176" customWidth="1"/>
    <col min="8193" max="8193" width="10.28515625" style="176" customWidth="1"/>
    <col min="8194" max="8194" width="0" style="176" hidden="1" customWidth="1"/>
    <col min="8195" max="8195" width="19.5703125" style="176" customWidth="1"/>
    <col min="8196" max="8196" width="11.7109375" style="176" customWidth="1"/>
    <col min="8197" max="8197" width="48.42578125" style="176" customWidth="1"/>
    <col min="8198" max="8198" width="13.140625" style="176" customWidth="1"/>
    <col min="8199" max="8199" width="12.7109375" style="176" customWidth="1"/>
    <col min="8200" max="8200" width="11.42578125" style="176" customWidth="1"/>
    <col min="8201" max="8201" width="10.85546875" style="176" customWidth="1"/>
    <col min="8202" max="8202" width="7.85546875" style="176" customWidth="1"/>
    <col min="8203" max="8203" width="9.5703125" style="176" customWidth="1"/>
    <col min="8204" max="8204" width="9" style="176" customWidth="1"/>
    <col min="8205" max="8205" width="0" style="176" hidden="1" customWidth="1"/>
    <col min="8206" max="8206" width="10.5703125" style="176" customWidth="1"/>
    <col min="8207" max="8207" width="9.5703125" style="176" customWidth="1"/>
    <col min="8208" max="8208" width="10" style="176" customWidth="1"/>
    <col min="8209" max="8209" width="9.28515625" style="176" customWidth="1"/>
    <col min="8210" max="8210" width="11.5703125" style="176" customWidth="1"/>
    <col min="8211" max="8211" width="0" style="176" hidden="1" customWidth="1"/>
    <col min="8212" max="8447" width="7.85546875" style="176"/>
    <col min="8448" max="8448" width="3.28515625" style="176" customWidth="1"/>
    <col min="8449" max="8449" width="10.28515625" style="176" customWidth="1"/>
    <col min="8450" max="8450" width="0" style="176" hidden="1" customWidth="1"/>
    <col min="8451" max="8451" width="19.5703125" style="176" customWidth="1"/>
    <col min="8452" max="8452" width="11.7109375" style="176" customWidth="1"/>
    <col min="8453" max="8453" width="48.42578125" style="176" customWidth="1"/>
    <col min="8454" max="8454" width="13.140625" style="176" customWidth="1"/>
    <col min="8455" max="8455" width="12.7109375" style="176" customWidth="1"/>
    <col min="8456" max="8456" width="11.42578125" style="176" customWidth="1"/>
    <col min="8457" max="8457" width="10.85546875" style="176" customWidth="1"/>
    <col min="8458" max="8458" width="7.85546875" style="176" customWidth="1"/>
    <col min="8459" max="8459" width="9.5703125" style="176" customWidth="1"/>
    <col min="8460" max="8460" width="9" style="176" customWidth="1"/>
    <col min="8461" max="8461" width="0" style="176" hidden="1" customWidth="1"/>
    <col min="8462" max="8462" width="10.5703125" style="176" customWidth="1"/>
    <col min="8463" max="8463" width="9.5703125" style="176" customWidth="1"/>
    <col min="8464" max="8464" width="10" style="176" customWidth="1"/>
    <col min="8465" max="8465" width="9.28515625" style="176" customWidth="1"/>
    <col min="8466" max="8466" width="11.5703125" style="176" customWidth="1"/>
    <col min="8467" max="8467" width="0" style="176" hidden="1" customWidth="1"/>
    <col min="8468" max="8703" width="7.85546875" style="176"/>
    <col min="8704" max="8704" width="3.28515625" style="176" customWidth="1"/>
    <col min="8705" max="8705" width="10.28515625" style="176" customWidth="1"/>
    <col min="8706" max="8706" width="0" style="176" hidden="1" customWidth="1"/>
    <col min="8707" max="8707" width="19.5703125" style="176" customWidth="1"/>
    <col min="8708" max="8708" width="11.7109375" style="176" customWidth="1"/>
    <col min="8709" max="8709" width="48.42578125" style="176" customWidth="1"/>
    <col min="8710" max="8710" width="13.140625" style="176" customWidth="1"/>
    <col min="8711" max="8711" width="12.7109375" style="176" customWidth="1"/>
    <col min="8712" max="8712" width="11.42578125" style="176" customWidth="1"/>
    <col min="8713" max="8713" width="10.85546875" style="176" customWidth="1"/>
    <col min="8714" max="8714" width="7.85546875" style="176" customWidth="1"/>
    <col min="8715" max="8715" width="9.5703125" style="176" customWidth="1"/>
    <col min="8716" max="8716" width="9" style="176" customWidth="1"/>
    <col min="8717" max="8717" width="0" style="176" hidden="1" customWidth="1"/>
    <col min="8718" max="8718" width="10.5703125" style="176" customWidth="1"/>
    <col min="8719" max="8719" width="9.5703125" style="176" customWidth="1"/>
    <col min="8720" max="8720" width="10" style="176" customWidth="1"/>
    <col min="8721" max="8721" width="9.28515625" style="176" customWidth="1"/>
    <col min="8722" max="8722" width="11.5703125" style="176" customWidth="1"/>
    <col min="8723" max="8723" width="0" style="176" hidden="1" customWidth="1"/>
    <col min="8724" max="8959" width="7.85546875" style="176"/>
    <col min="8960" max="8960" width="3.28515625" style="176" customWidth="1"/>
    <col min="8961" max="8961" width="10.28515625" style="176" customWidth="1"/>
    <col min="8962" max="8962" width="0" style="176" hidden="1" customWidth="1"/>
    <col min="8963" max="8963" width="19.5703125" style="176" customWidth="1"/>
    <col min="8964" max="8964" width="11.7109375" style="176" customWidth="1"/>
    <col min="8965" max="8965" width="48.42578125" style="176" customWidth="1"/>
    <col min="8966" max="8966" width="13.140625" style="176" customWidth="1"/>
    <col min="8967" max="8967" width="12.7109375" style="176" customWidth="1"/>
    <col min="8968" max="8968" width="11.42578125" style="176" customWidth="1"/>
    <col min="8969" max="8969" width="10.85546875" style="176" customWidth="1"/>
    <col min="8970" max="8970" width="7.85546875" style="176" customWidth="1"/>
    <col min="8971" max="8971" width="9.5703125" style="176" customWidth="1"/>
    <col min="8972" max="8972" width="9" style="176" customWidth="1"/>
    <col min="8973" max="8973" width="0" style="176" hidden="1" customWidth="1"/>
    <col min="8974" max="8974" width="10.5703125" style="176" customWidth="1"/>
    <col min="8975" max="8975" width="9.5703125" style="176" customWidth="1"/>
    <col min="8976" max="8976" width="10" style="176" customWidth="1"/>
    <col min="8977" max="8977" width="9.28515625" style="176" customWidth="1"/>
    <col min="8978" max="8978" width="11.5703125" style="176" customWidth="1"/>
    <col min="8979" max="8979" width="0" style="176" hidden="1" customWidth="1"/>
    <col min="8980" max="9215" width="7.85546875" style="176"/>
    <col min="9216" max="9216" width="3.28515625" style="176" customWidth="1"/>
    <col min="9217" max="9217" width="10.28515625" style="176" customWidth="1"/>
    <col min="9218" max="9218" width="0" style="176" hidden="1" customWidth="1"/>
    <col min="9219" max="9219" width="19.5703125" style="176" customWidth="1"/>
    <col min="9220" max="9220" width="11.7109375" style="176" customWidth="1"/>
    <col min="9221" max="9221" width="48.42578125" style="176" customWidth="1"/>
    <col min="9222" max="9222" width="13.140625" style="176" customWidth="1"/>
    <col min="9223" max="9223" width="12.7109375" style="176" customWidth="1"/>
    <col min="9224" max="9224" width="11.42578125" style="176" customWidth="1"/>
    <col min="9225" max="9225" width="10.85546875" style="176" customWidth="1"/>
    <col min="9226" max="9226" width="7.85546875" style="176" customWidth="1"/>
    <col min="9227" max="9227" width="9.5703125" style="176" customWidth="1"/>
    <col min="9228" max="9228" width="9" style="176" customWidth="1"/>
    <col min="9229" max="9229" width="0" style="176" hidden="1" customWidth="1"/>
    <col min="9230" max="9230" width="10.5703125" style="176" customWidth="1"/>
    <col min="9231" max="9231" width="9.5703125" style="176" customWidth="1"/>
    <col min="9232" max="9232" width="10" style="176" customWidth="1"/>
    <col min="9233" max="9233" width="9.28515625" style="176" customWidth="1"/>
    <col min="9234" max="9234" width="11.5703125" style="176" customWidth="1"/>
    <col min="9235" max="9235" width="0" style="176" hidden="1" customWidth="1"/>
    <col min="9236" max="9471" width="7.85546875" style="176"/>
    <col min="9472" max="9472" width="3.28515625" style="176" customWidth="1"/>
    <col min="9473" max="9473" width="10.28515625" style="176" customWidth="1"/>
    <col min="9474" max="9474" width="0" style="176" hidden="1" customWidth="1"/>
    <col min="9475" max="9475" width="19.5703125" style="176" customWidth="1"/>
    <col min="9476" max="9476" width="11.7109375" style="176" customWidth="1"/>
    <col min="9477" max="9477" width="48.42578125" style="176" customWidth="1"/>
    <col min="9478" max="9478" width="13.140625" style="176" customWidth="1"/>
    <col min="9479" max="9479" width="12.7109375" style="176" customWidth="1"/>
    <col min="9480" max="9480" width="11.42578125" style="176" customWidth="1"/>
    <col min="9481" max="9481" width="10.85546875" style="176" customWidth="1"/>
    <col min="9482" max="9482" width="7.85546875" style="176" customWidth="1"/>
    <col min="9483" max="9483" width="9.5703125" style="176" customWidth="1"/>
    <col min="9484" max="9484" width="9" style="176" customWidth="1"/>
    <col min="9485" max="9485" width="0" style="176" hidden="1" customWidth="1"/>
    <col min="9486" max="9486" width="10.5703125" style="176" customWidth="1"/>
    <col min="9487" max="9487" width="9.5703125" style="176" customWidth="1"/>
    <col min="9488" max="9488" width="10" style="176" customWidth="1"/>
    <col min="9489" max="9489" width="9.28515625" style="176" customWidth="1"/>
    <col min="9490" max="9490" width="11.5703125" style="176" customWidth="1"/>
    <col min="9491" max="9491" width="0" style="176" hidden="1" customWidth="1"/>
    <col min="9492" max="9727" width="7.85546875" style="176"/>
    <col min="9728" max="9728" width="3.28515625" style="176" customWidth="1"/>
    <col min="9729" max="9729" width="10.28515625" style="176" customWidth="1"/>
    <col min="9730" max="9730" width="0" style="176" hidden="1" customWidth="1"/>
    <col min="9731" max="9731" width="19.5703125" style="176" customWidth="1"/>
    <col min="9732" max="9732" width="11.7109375" style="176" customWidth="1"/>
    <col min="9733" max="9733" width="48.42578125" style="176" customWidth="1"/>
    <col min="9734" max="9734" width="13.140625" style="176" customWidth="1"/>
    <col min="9735" max="9735" width="12.7109375" style="176" customWidth="1"/>
    <col min="9736" max="9736" width="11.42578125" style="176" customWidth="1"/>
    <col min="9737" max="9737" width="10.85546875" style="176" customWidth="1"/>
    <col min="9738" max="9738" width="7.85546875" style="176" customWidth="1"/>
    <col min="9739" max="9739" width="9.5703125" style="176" customWidth="1"/>
    <col min="9740" max="9740" width="9" style="176" customWidth="1"/>
    <col min="9741" max="9741" width="0" style="176" hidden="1" customWidth="1"/>
    <col min="9742" max="9742" width="10.5703125" style="176" customWidth="1"/>
    <col min="9743" max="9743" width="9.5703125" style="176" customWidth="1"/>
    <col min="9744" max="9744" width="10" style="176" customWidth="1"/>
    <col min="9745" max="9745" width="9.28515625" style="176" customWidth="1"/>
    <col min="9746" max="9746" width="11.5703125" style="176" customWidth="1"/>
    <col min="9747" max="9747" width="0" style="176" hidden="1" customWidth="1"/>
    <col min="9748" max="9983" width="7.85546875" style="176"/>
    <col min="9984" max="9984" width="3.28515625" style="176" customWidth="1"/>
    <col min="9985" max="9985" width="10.28515625" style="176" customWidth="1"/>
    <col min="9986" max="9986" width="0" style="176" hidden="1" customWidth="1"/>
    <col min="9987" max="9987" width="19.5703125" style="176" customWidth="1"/>
    <col min="9988" max="9988" width="11.7109375" style="176" customWidth="1"/>
    <col min="9989" max="9989" width="48.42578125" style="176" customWidth="1"/>
    <col min="9990" max="9990" width="13.140625" style="176" customWidth="1"/>
    <col min="9991" max="9991" width="12.7109375" style="176" customWidth="1"/>
    <col min="9992" max="9992" width="11.42578125" style="176" customWidth="1"/>
    <col min="9993" max="9993" width="10.85546875" style="176" customWidth="1"/>
    <col min="9994" max="9994" width="7.85546875" style="176" customWidth="1"/>
    <col min="9995" max="9995" width="9.5703125" style="176" customWidth="1"/>
    <col min="9996" max="9996" width="9" style="176" customWidth="1"/>
    <col min="9997" max="9997" width="0" style="176" hidden="1" customWidth="1"/>
    <col min="9998" max="9998" width="10.5703125" style="176" customWidth="1"/>
    <col min="9999" max="9999" width="9.5703125" style="176" customWidth="1"/>
    <col min="10000" max="10000" width="10" style="176" customWidth="1"/>
    <col min="10001" max="10001" width="9.28515625" style="176" customWidth="1"/>
    <col min="10002" max="10002" width="11.5703125" style="176" customWidth="1"/>
    <col min="10003" max="10003" width="0" style="176" hidden="1" customWidth="1"/>
    <col min="10004" max="10239" width="7.85546875" style="176"/>
    <col min="10240" max="10240" width="3.28515625" style="176" customWidth="1"/>
    <col min="10241" max="10241" width="10.28515625" style="176" customWidth="1"/>
    <col min="10242" max="10242" width="0" style="176" hidden="1" customWidth="1"/>
    <col min="10243" max="10243" width="19.5703125" style="176" customWidth="1"/>
    <col min="10244" max="10244" width="11.7109375" style="176" customWidth="1"/>
    <col min="10245" max="10245" width="48.42578125" style="176" customWidth="1"/>
    <col min="10246" max="10246" width="13.140625" style="176" customWidth="1"/>
    <col min="10247" max="10247" width="12.7109375" style="176" customWidth="1"/>
    <col min="10248" max="10248" width="11.42578125" style="176" customWidth="1"/>
    <col min="10249" max="10249" width="10.85546875" style="176" customWidth="1"/>
    <col min="10250" max="10250" width="7.85546875" style="176" customWidth="1"/>
    <col min="10251" max="10251" width="9.5703125" style="176" customWidth="1"/>
    <col min="10252" max="10252" width="9" style="176" customWidth="1"/>
    <col min="10253" max="10253" width="0" style="176" hidden="1" customWidth="1"/>
    <col min="10254" max="10254" width="10.5703125" style="176" customWidth="1"/>
    <col min="10255" max="10255" width="9.5703125" style="176" customWidth="1"/>
    <col min="10256" max="10256" width="10" style="176" customWidth="1"/>
    <col min="10257" max="10257" width="9.28515625" style="176" customWidth="1"/>
    <col min="10258" max="10258" width="11.5703125" style="176" customWidth="1"/>
    <col min="10259" max="10259" width="0" style="176" hidden="1" customWidth="1"/>
    <col min="10260" max="10495" width="7.85546875" style="176"/>
    <col min="10496" max="10496" width="3.28515625" style="176" customWidth="1"/>
    <col min="10497" max="10497" width="10.28515625" style="176" customWidth="1"/>
    <col min="10498" max="10498" width="0" style="176" hidden="1" customWidth="1"/>
    <col min="10499" max="10499" width="19.5703125" style="176" customWidth="1"/>
    <col min="10500" max="10500" width="11.7109375" style="176" customWidth="1"/>
    <col min="10501" max="10501" width="48.42578125" style="176" customWidth="1"/>
    <col min="10502" max="10502" width="13.140625" style="176" customWidth="1"/>
    <col min="10503" max="10503" width="12.7109375" style="176" customWidth="1"/>
    <col min="10504" max="10504" width="11.42578125" style="176" customWidth="1"/>
    <col min="10505" max="10505" width="10.85546875" style="176" customWidth="1"/>
    <col min="10506" max="10506" width="7.85546875" style="176" customWidth="1"/>
    <col min="10507" max="10507" width="9.5703125" style="176" customWidth="1"/>
    <col min="10508" max="10508" width="9" style="176" customWidth="1"/>
    <col min="10509" max="10509" width="0" style="176" hidden="1" customWidth="1"/>
    <col min="10510" max="10510" width="10.5703125" style="176" customWidth="1"/>
    <col min="10511" max="10511" width="9.5703125" style="176" customWidth="1"/>
    <col min="10512" max="10512" width="10" style="176" customWidth="1"/>
    <col min="10513" max="10513" width="9.28515625" style="176" customWidth="1"/>
    <col min="10514" max="10514" width="11.5703125" style="176" customWidth="1"/>
    <col min="10515" max="10515" width="0" style="176" hidden="1" customWidth="1"/>
    <col min="10516" max="10751" width="7.85546875" style="176"/>
    <col min="10752" max="10752" width="3.28515625" style="176" customWidth="1"/>
    <col min="10753" max="10753" width="10.28515625" style="176" customWidth="1"/>
    <col min="10754" max="10754" width="0" style="176" hidden="1" customWidth="1"/>
    <col min="10755" max="10755" width="19.5703125" style="176" customWidth="1"/>
    <col min="10756" max="10756" width="11.7109375" style="176" customWidth="1"/>
    <col min="10757" max="10757" width="48.42578125" style="176" customWidth="1"/>
    <col min="10758" max="10758" width="13.140625" style="176" customWidth="1"/>
    <col min="10759" max="10759" width="12.7109375" style="176" customWidth="1"/>
    <col min="10760" max="10760" width="11.42578125" style="176" customWidth="1"/>
    <col min="10761" max="10761" width="10.85546875" style="176" customWidth="1"/>
    <col min="10762" max="10762" width="7.85546875" style="176" customWidth="1"/>
    <col min="10763" max="10763" width="9.5703125" style="176" customWidth="1"/>
    <col min="10764" max="10764" width="9" style="176" customWidth="1"/>
    <col min="10765" max="10765" width="0" style="176" hidden="1" customWidth="1"/>
    <col min="10766" max="10766" width="10.5703125" style="176" customWidth="1"/>
    <col min="10767" max="10767" width="9.5703125" style="176" customWidth="1"/>
    <col min="10768" max="10768" width="10" style="176" customWidth="1"/>
    <col min="10769" max="10769" width="9.28515625" style="176" customWidth="1"/>
    <col min="10770" max="10770" width="11.5703125" style="176" customWidth="1"/>
    <col min="10771" max="10771" width="0" style="176" hidden="1" customWidth="1"/>
    <col min="10772" max="11007" width="7.85546875" style="176"/>
    <col min="11008" max="11008" width="3.28515625" style="176" customWidth="1"/>
    <col min="11009" max="11009" width="10.28515625" style="176" customWidth="1"/>
    <col min="11010" max="11010" width="0" style="176" hidden="1" customWidth="1"/>
    <col min="11011" max="11011" width="19.5703125" style="176" customWidth="1"/>
    <col min="11012" max="11012" width="11.7109375" style="176" customWidth="1"/>
    <col min="11013" max="11013" width="48.42578125" style="176" customWidth="1"/>
    <col min="11014" max="11014" width="13.140625" style="176" customWidth="1"/>
    <col min="11015" max="11015" width="12.7109375" style="176" customWidth="1"/>
    <col min="11016" max="11016" width="11.42578125" style="176" customWidth="1"/>
    <col min="11017" max="11017" width="10.85546875" style="176" customWidth="1"/>
    <col min="11018" max="11018" width="7.85546875" style="176" customWidth="1"/>
    <col min="11019" max="11019" width="9.5703125" style="176" customWidth="1"/>
    <col min="11020" max="11020" width="9" style="176" customWidth="1"/>
    <col min="11021" max="11021" width="0" style="176" hidden="1" customWidth="1"/>
    <col min="11022" max="11022" width="10.5703125" style="176" customWidth="1"/>
    <col min="11023" max="11023" width="9.5703125" style="176" customWidth="1"/>
    <col min="11024" max="11024" width="10" style="176" customWidth="1"/>
    <col min="11025" max="11025" width="9.28515625" style="176" customWidth="1"/>
    <col min="11026" max="11026" width="11.5703125" style="176" customWidth="1"/>
    <col min="11027" max="11027" width="0" style="176" hidden="1" customWidth="1"/>
    <col min="11028" max="11263" width="7.85546875" style="176"/>
    <col min="11264" max="11264" width="3.28515625" style="176" customWidth="1"/>
    <col min="11265" max="11265" width="10.28515625" style="176" customWidth="1"/>
    <col min="11266" max="11266" width="0" style="176" hidden="1" customWidth="1"/>
    <col min="11267" max="11267" width="19.5703125" style="176" customWidth="1"/>
    <col min="11268" max="11268" width="11.7109375" style="176" customWidth="1"/>
    <col min="11269" max="11269" width="48.42578125" style="176" customWidth="1"/>
    <col min="11270" max="11270" width="13.140625" style="176" customWidth="1"/>
    <col min="11271" max="11271" width="12.7109375" style="176" customWidth="1"/>
    <col min="11272" max="11272" width="11.42578125" style="176" customWidth="1"/>
    <col min="11273" max="11273" width="10.85546875" style="176" customWidth="1"/>
    <col min="11274" max="11274" width="7.85546875" style="176" customWidth="1"/>
    <col min="11275" max="11275" width="9.5703125" style="176" customWidth="1"/>
    <col min="11276" max="11276" width="9" style="176" customWidth="1"/>
    <col min="11277" max="11277" width="0" style="176" hidden="1" customWidth="1"/>
    <col min="11278" max="11278" width="10.5703125" style="176" customWidth="1"/>
    <col min="11279" max="11279" width="9.5703125" style="176" customWidth="1"/>
    <col min="11280" max="11280" width="10" style="176" customWidth="1"/>
    <col min="11281" max="11281" width="9.28515625" style="176" customWidth="1"/>
    <col min="11282" max="11282" width="11.5703125" style="176" customWidth="1"/>
    <col min="11283" max="11283" width="0" style="176" hidden="1" customWidth="1"/>
    <col min="11284" max="11519" width="7.85546875" style="176"/>
    <col min="11520" max="11520" width="3.28515625" style="176" customWidth="1"/>
    <col min="11521" max="11521" width="10.28515625" style="176" customWidth="1"/>
    <col min="11522" max="11522" width="0" style="176" hidden="1" customWidth="1"/>
    <col min="11523" max="11523" width="19.5703125" style="176" customWidth="1"/>
    <col min="11524" max="11524" width="11.7109375" style="176" customWidth="1"/>
    <col min="11525" max="11525" width="48.42578125" style="176" customWidth="1"/>
    <col min="11526" max="11526" width="13.140625" style="176" customWidth="1"/>
    <col min="11527" max="11527" width="12.7109375" style="176" customWidth="1"/>
    <col min="11528" max="11528" width="11.42578125" style="176" customWidth="1"/>
    <col min="11529" max="11529" width="10.85546875" style="176" customWidth="1"/>
    <col min="11530" max="11530" width="7.85546875" style="176" customWidth="1"/>
    <col min="11531" max="11531" width="9.5703125" style="176" customWidth="1"/>
    <col min="11532" max="11532" width="9" style="176" customWidth="1"/>
    <col min="11533" max="11533" width="0" style="176" hidden="1" customWidth="1"/>
    <col min="11534" max="11534" width="10.5703125" style="176" customWidth="1"/>
    <col min="11535" max="11535" width="9.5703125" style="176" customWidth="1"/>
    <col min="11536" max="11536" width="10" style="176" customWidth="1"/>
    <col min="11537" max="11537" width="9.28515625" style="176" customWidth="1"/>
    <col min="11538" max="11538" width="11.5703125" style="176" customWidth="1"/>
    <col min="11539" max="11539" width="0" style="176" hidden="1" customWidth="1"/>
    <col min="11540" max="11775" width="7.85546875" style="176"/>
    <col min="11776" max="11776" width="3.28515625" style="176" customWidth="1"/>
    <col min="11777" max="11777" width="10.28515625" style="176" customWidth="1"/>
    <col min="11778" max="11778" width="0" style="176" hidden="1" customWidth="1"/>
    <col min="11779" max="11779" width="19.5703125" style="176" customWidth="1"/>
    <col min="11780" max="11780" width="11.7109375" style="176" customWidth="1"/>
    <col min="11781" max="11781" width="48.42578125" style="176" customWidth="1"/>
    <col min="11782" max="11782" width="13.140625" style="176" customWidth="1"/>
    <col min="11783" max="11783" width="12.7109375" style="176" customWidth="1"/>
    <col min="11784" max="11784" width="11.42578125" style="176" customWidth="1"/>
    <col min="11785" max="11785" width="10.85546875" style="176" customWidth="1"/>
    <col min="11786" max="11786" width="7.85546875" style="176" customWidth="1"/>
    <col min="11787" max="11787" width="9.5703125" style="176" customWidth="1"/>
    <col min="11788" max="11788" width="9" style="176" customWidth="1"/>
    <col min="11789" max="11789" width="0" style="176" hidden="1" customWidth="1"/>
    <col min="11790" max="11790" width="10.5703125" style="176" customWidth="1"/>
    <col min="11791" max="11791" width="9.5703125" style="176" customWidth="1"/>
    <col min="11792" max="11792" width="10" style="176" customWidth="1"/>
    <col min="11793" max="11793" width="9.28515625" style="176" customWidth="1"/>
    <col min="11794" max="11794" width="11.5703125" style="176" customWidth="1"/>
    <col min="11795" max="11795" width="0" style="176" hidden="1" customWidth="1"/>
    <col min="11796" max="12031" width="7.85546875" style="176"/>
    <col min="12032" max="12032" width="3.28515625" style="176" customWidth="1"/>
    <col min="12033" max="12033" width="10.28515625" style="176" customWidth="1"/>
    <col min="12034" max="12034" width="0" style="176" hidden="1" customWidth="1"/>
    <col min="12035" max="12035" width="19.5703125" style="176" customWidth="1"/>
    <col min="12036" max="12036" width="11.7109375" style="176" customWidth="1"/>
    <col min="12037" max="12037" width="48.42578125" style="176" customWidth="1"/>
    <col min="12038" max="12038" width="13.140625" style="176" customWidth="1"/>
    <col min="12039" max="12039" width="12.7109375" style="176" customWidth="1"/>
    <col min="12040" max="12040" width="11.42578125" style="176" customWidth="1"/>
    <col min="12041" max="12041" width="10.85546875" style="176" customWidth="1"/>
    <col min="12042" max="12042" width="7.85546875" style="176" customWidth="1"/>
    <col min="12043" max="12043" width="9.5703125" style="176" customWidth="1"/>
    <col min="12044" max="12044" width="9" style="176" customWidth="1"/>
    <col min="12045" max="12045" width="0" style="176" hidden="1" customWidth="1"/>
    <col min="12046" max="12046" width="10.5703125" style="176" customWidth="1"/>
    <col min="12047" max="12047" width="9.5703125" style="176" customWidth="1"/>
    <col min="12048" max="12048" width="10" style="176" customWidth="1"/>
    <col min="12049" max="12049" width="9.28515625" style="176" customWidth="1"/>
    <col min="12050" max="12050" width="11.5703125" style="176" customWidth="1"/>
    <col min="12051" max="12051" width="0" style="176" hidden="1" customWidth="1"/>
    <col min="12052" max="12287" width="7.85546875" style="176"/>
    <col min="12288" max="12288" width="3.28515625" style="176" customWidth="1"/>
    <col min="12289" max="12289" width="10.28515625" style="176" customWidth="1"/>
    <col min="12290" max="12290" width="0" style="176" hidden="1" customWidth="1"/>
    <col min="12291" max="12291" width="19.5703125" style="176" customWidth="1"/>
    <col min="12292" max="12292" width="11.7109375" style="176" customWidth="1"/>
    <col min="12293" max="12293" width="48.42578125" style="176" customWidth="1"/>
    <col min="12294" max="12294" width="13.140625" style="176" customWidth="1"/>
    <col min="12295" max="12295" width="12.7109375" style="176" customWidth="1"/>
    <col min="12296" max="12296" width="11.42578125" style="176" customWidth="1"/>
    <col min="12297" max="12297" width="10.85546875" style="176" customWidth="1"/>
    <col min="12298" max="12298" width="7.85546875" style="176" customWidth="1"/>
    <col min="12299" max="12299" width="9.5703125" style="176" customWidth="1"/>
    <col min="12300" max="12300" width="9" style="176" customWidth="1"/>
    <col min="12301" max="12301" width="0" style="176" hidden="1" customWidth="1"/>
    <col min="12302" max="12302" width="10.5703125" style="176" customWidth="1"/>
    <col min="12303" max="12303" width="9.5703125" style="176" customWidth="1"/>
    <col min="12304" max="12304" width="10" style="176" customWidth="1"/>
    <col min="12305" max="12305" width="9.28515625" style="176" customWidth="1"/>
    <col min="12306" max="12306" width="11.5703125" style="176" customWidth="1"/>
    <col min="12307" max="12307" width="0" style="176" hidden="1" customWidth="1"/>
    <col min="12308" max="12543" width="7.85546875" style="176"/>
    <col min="12544" max="12544" width="3.28515625" style="176" customWidth="1"/>
    <col min="12545" max="12545" width="10.28515625" style="176" customWidth="1"/>
    <col min="12546" max="12546" width="0" style="176" hidden="1" customWidth="1"/>
    <col min="12547" max="12547" width="19.5703125" style="176" customWidth="1"/>
    <col min="12548" max="12548" width="11.7109375" style="176" customWidth="1"/>
    <col min="12549" max="12549" width="48.42578125" style="176" customWidth="1"/>
    <col min="12550" max="12550" width="13.140625" style="176" customWidth="1"/>
    <col min="12551" max="12551" width="12.7109375" style="176" customWidth="1"/>
    <col min="12552" max="12552" width="11.42578125" style="176" customWidth="1"/>
    <col min="12553" max="12553" width="10.85546875" style="176" customWidth="1"/>
    <col min="12554" max="12554" width="7.85546875" style="176" customWidth="1"/>
    <col min="12555" max="12555" width="9.5703125" style="176" customWidth="1"/>
    <col min="12556" max="12556" width="9" style="176" customWidth="1"/>
    <col min="12557" max="12557" width="0" style="176" hidden="1" customWidth="1"/>
    <col min="12558" max="12558" width="10.5703125" style="176" customWidth="1"/>
    <col min="12559" max="12559" width="9.5703125" style="176" customWidth="1"/>
    <col min="12560" max="12560" width="10" style="176" customWidth="1"/>
    <col min="12561" max="12561" width="9.28515625" style="176" customWidth="1"/>
    <col min="12562" max="12562" width="11.5703125" style="176" customWidth="1"/>
    <col min="12563" max="12563" width="0" style="176" hidden="1" customWidth="1"/>
    <col min="12564" max="12799" width="7.85546875" style="176"/>
    <col min="12800" max="12800" width="3.28515625" style="176" customWidth="1"/>
    <col min="12801" max="12801" width="10.28515625" style="176" customWidth="1"/>
    <col min="12802" max="12802" width="0" style="176" hidden="1" customWidth="1"/>
    <col min="12803" max="12803" width="19.5703125" style="176" customWidth="1"/>
    <col min="12804" max="12804" width="11.7109375" style="176" customWidth="1"/>
    <col min="12805" max="12805" width="48.42578125" style="176" customWidth="1"/>
    <col min="12806" max="12806" width="13.140625" style="176" customWidth="1"/>
    <col min="12807" max="12807" width="12.7109375" style="176" customWidth="1"/>
    <col min="12808" max="12808" width="11.42578125" style="176" customWidth="1"/>
    <col min="12809" max="12809" width="10.85546875" style="176" customWidth="1"/>
    <col min="12810" max="12810" width="7.85546875" style="176" customWidth="1"/>
    <col min="12811" max="12811" width="9.5703125" style="176" customWidth="1"/>
    <col min="12812" max="12812" width="9" style="176" customWidth="1"/>
    <col min="12813" max="12813" width="0" style="176" hidden="1" customWidth="1"/>
    <col min="12814" max="12814" width="10.5703125" style="176" customWidth="1"/>
    <col min="12815" max="12815" width="9.5703125" style="176" customWidth="1"/>
    <col min="12816" max="12816" width="10" style="176" customWidth="1"/>
    <col min="12817" max="12817" width="9.28515625" style="176" customWidth="1"/>
    <col min="12818" max="12818" width="11.5703125" style="176" customWidth="1"/>
    <col min="12819" max="12819" width="0" style="176" hidden="1" customWidth="1"/>
    <col min="12820" max="13055" width="7.85546875" style="176"/>
    <col min="13056" max="13056" width="3.28515625" style="176" customWidth="1"/>
    <col min="13057" max="13057" width="10.28515625" style="176" customWidth="1"/>
    <col min="13058" max="13058" width="0" style="176" hidden="1" customWidth="1"/>
    <col min="13059" max="13059" width="19.5703125" style="176" customWidth="1"/>
    <col min="13060" max="13060" width="11.7109375" style="176" customWidth="1"/>
    <col min="13061" max="13061" width="48.42578125" style="176" customWidth="1"/>
    <col min="13062" max="13062" width="13.140625" style="176" customWidth="1"/>
    <col min="13063" max="13063" width="12.7109375" style="176" customWidth="1"/>
    <col min="13064" max="13064" width="11.42578125" style="176" customWidth="1"/>
    <col min="13065" max="13065" width="10.85546875" style="176" customWidth="1"/>
    <col min="13066" max="13066" width="7.85546875" style="176" customWidth="1"/>
    <col min="13067" max="13067" width="9.5703125" style="176" customWidth="1"/>
    <col min="13068" max="13068" width="9" style="176" customWidth="1"/>
    <col min="13069" max="13069" width="0" style="176" hidden="1" customWidth="1"/>
    <col min="13070" max="13070" width="10.5703125" style="176" customWidth="1"/>
    <col min="13071" max="13071" width="9.5703125" style="176" customWidth="1"/>
    <col min="13072" max="13072" width="10" style="176" customWidth="1"/>
    <col min="13073" max="13073" width="9.28515625" style="176" customWidth="1"/>
    <col min="13074" max="13074" width="11.5703125" style="176" customWidth="1"/>
    <col min="13075" max="13075" width="0" style="176" hidden="1" customWidth="1"/>
    <col min="13076" max="13311" width="7.85546875" style="176"/>
    <col min="13312" max="13312" width="3.28515625" style="176" customWidth="1"/>
    <col min="13313" max="13313" width="10.28515625" style="176" customWidth="1"/>
    <col min="13314" max="13314" width="0" style="176" hidden="1" customWidth="1"/>
    <col min="13315" max="13315" width="19.5703125" style="176" customWidth="1"/>
    <col min="13316" max="13316" width="11.7109375" style="176" customWidth="1"/>
    <col min="13317" max="13317" width="48.42578125" style="176" customWidth="1"/>
    <col min="13318" max="13318" width="13.140625" style="176" customWidth="1"/>
    <col min="13319" max="13319" width="12.7109375" style="176" customWidth="1"/>
    <col min="13320" max="13320" width="11.42578125" style="176" customWidth="1"/>
    <col min="13321" max="13321" width="10.85546875" style="176" customWidth="1"/>
    <col min="13322" max="13322" width="7.85546875" style="176" customWidth="1"/>
    <col min="13323" max="13323" width="9.5703125" style="176" customWidth="1"/>
    <col min="13324" max="13324" width="9" style="176" customWidth="1"/>
    <col min="13325" max="13325" width="0" style="176" hidden="1" customWidth="1"/>
    <col min="13326" max="13326" width="10.5703125" style="176" customWidth="1"/>
    <col min="13327" max="13327" width="9.5703125" style="176" customWidth="1"/>
    <col min="13328" max="13328" width="10" style="176" customWidth="1"/>
    <col min="13329" max="13329" width="9.28515625" style="176" customWidth="1"/>
    <col min="13330" max="13330" width="11.5703125" style="176" customWidth="1"/>
    <col min="13331" max="13331" width="0" style="176" hidden="1" customWidth="1"/>
    <col min="13332" max="13567" width="7.85546875" style="176"/>
    <col min="13568" max="13568" width="3.28515625" style="176" customWidth="1"/>
    <col min="13569" max="13569" width="10.28515625" style="176" customWidth="1"/>
    <col min="13570" max="13570" width="0" style="176" hidden="1" customWidth="1"/>
    <col min="13571" max="13571" width="19.5703125" style="176" customWidth="1"/>
    <col min="13572" max="13572" width="11.7109375" style="176" customWidth="1"/>
    <col min="13573" max="13573" width="48.42578125" style="176" customWidth="1"/>
    <col min="13574" max="13574" width="13.140625" style="176" customWidth="1"/>
    <col min="13575" max="13575" width="12.7109375" style="176" customWidth="1"/>
    <col min="13576" max="13576" width="11.42578125" style="176" customWidth="1"/>
    <col min="13577" max="13577" width="10.85546875" style="176" customWidth="1"/>
    <col min="13578" max="13578" width="7.85546875" style="176" customWidth="1"/>
    <col min="13579" max="13579" width="9.5703125" style="176" customWidth="1"/>
    <col min="13580" max="13580" width="9" style="176" customWidth="1"/>
    <col min="13581" max="13581" width="0" style="176" hidden="1" customWidth="1"/>
    <col min="13582" max="13582" width="10.5703125" style="176" customWidth="1"/>
    <col min="13583" max="13583" width="9.5703125" style="176" customWidth="1"/>
    <col min="13584" max="13584" width="10" style="176" customWidth="1"/>
    <col min="13585" max="13585" width="9.28515625" style="176" customWidth="1"/>
    <col min="13586" max="13586" width="11.5703125" style="176" customWidth="1"/>
    <col min="13587" max="13587" width="0" style="176" hidden="1" customWidth="1"/>
    <col min="13588" max="13823" width="7.85546875" style="176"/>
    <col min="13824" max="13824" width="3.28515625" style="176" customWidth="1"/>
    <col min="13825" max="13825" width="10.28515625" style="176" customWidth="1"/>
    <col min="13826" max="13826" width="0" style="176" hidden="1" customWidth="1"/>
    <col min="13827" max="13827" width="19.5703125" style="176" customWidth="1"/>
    <col min="13828" max="13828" width="11.7109375" style="176" customWidth="1"/>
    <col min="13829" max="13829" width="48.42578125" style="176" customWidth="1"/>
    <col min="13830" max="13830" width="13.140625" style="176" customWidth="1"/>
    <col min="13831" max="13831" width="12.7109375" style="176" customWidth="1"/>
    <col min="13832" max="13832" width="11.42578125" style="176" customWidth="1"/>
    <col min="13833" max="13833" width="10.85546875" style="176" customWidth="1"/>
    <col min="13834" max="13834" width="7.85546875" style="176" customWidth="1"/>
    <col min="13835" max="13835" width="9.5703125" style="176" customWidth="1"/>
    <col min="13836" max="13836" width="9" style="176" customWidth="1"/>
    <col min="13837" max="13837" width="0" style="176" hidden="1" customWidth="1"/>
    <col min="13838" max="13838" width="10.5703125" style="176" customWidth="1"/>
    <col min="13839" max="13839" width="9.5703125" style="176" customWidth="1"/>
    <col min="13840" max="13840" width="10" style="176" customWidth="1"/>
    <col min="13841" max="13841" width="9.28515625" style="176" customWidth="1"/>
    <col min="13842" max="13842" width="11.5703125" style="176" customWidth="1"/>
    <col min="13843" max="13843" width="0" style="176" hidden="1" customWidth="1"/>
    <col min="13844" max="14079" width="7.85546875" style="176"/>
    <col min="14080" max="14080" width="3.28515625" style="176" customWidth="1"/>
    <col min="14081" max="14081" width="10.28515625" style="176" customWidth="1"/>
    <col min="14082" max="14082" width="0" style="176" hidden="1" customWidth="1"/>
    <col min="14083" max="14083" width="19.5703125" style="176" customWidth="1"/>
    <col min="14084" max="14084" width="11.7109375" style="176" customWidth="1"/>
    <col min="14085" max="14085" width="48.42578125" style="176" customWidth="1"/>
    <col min="14086" max="14086" width="13.140625" style="176" customWidth="1"/>
    <col min="14087" max="14087" width="12.7109375" style="176" customWidth="1"/>
    <col min="14088" max="14088" width="11.42578125" style="176" customWidth="1"/>
    <col min="14089" max="14089" width="10.85546875" style="176" customWidth="1"/>
    <col min="14090" max="14090" width="7.85546875" style="176" customWidth="1"/>
    <col min="14091" max="14091" width="9.5703125" style="176" customWidth="1"/>
    <col min="14092" max="14092" width="9" style="176" customWidth="1"/>
    <col min="14093" max="14093" width="0" style="176" hidden="1" customWidth="1"/>
    <col min="14094" max="14094" width="10.5703125" style="176" customWidth="1"/>
    <col min="14095" max="14095" width="9.5703125" style="176" customWidth="1"/>
    <col min="14096" max="14096" width="10" style="176" customWidth="1"/>
    <col min="14097" max="14097" width="9.28515625" style="176" customWidth="1"/>
    <col min="14098" max="14098" width="11.5703125" style="176" customWidth="1"/>
    <col min="14099" max="14099" width="0" style="176" hidden="1" customWidth="1"/>
    <col min="14100" max="14335" width="7.85546875" style="176"/>
    <col min="14336" max="14336" width="3.28515625" style="176" customWidth="1"/>
    <col min="14337" max="14337" width="10.28515625" style="176" customWidth="1"/>
    <col min="14338" max="14338" width="0" style="176" hidden="1" customWidth="1"/>
    <col min="14339" max="14339" width="19.5703125" style="176" customWidth="1"/>
    <col min="14340" max="14340" width="11.7109375" style="176" customWidth="1"/>
    <col min="14341" max="14341" width="48.42578125" style="176" customWidth="1"/>
    <col min="14342" max="14342" width="13.140625" style="176" customWidth="1"/>
    <col min="14343" max="14343" width="12.7109375" style="176" customWidth="1"/>
    <col min="14344" max="14344" width="11.42578125" style="176" customWidth="1"/>
    <col min="14345" max="14345" width="10.85546875" style="176" customWidth="1"/>
    <col min="14346" max="14346" width="7.85546875" style="176" customWidth="1"/>
    <col min="14347" max="14347" width="9.5703125" style="176" customWidth="1"/>
    <col min="14348" max="14348" width="9" style="176" customWidth="1"/>
    <col min="14349" max="14349" width="0" style="176" hidden="1" customWidth="1"/>
    <col min="14350" max="14350" width="10.5703125" style="176" customWidth="1"/>
    <col min="14351" max="14351" width="9.5703125" style="176" customWidth="1"/>
    <col min="14352" max="14352" width="10" style="176" customWidth="1"/>
    <col min="14353" max="14353" width="9.28515625" style="176" customWidth="1"/>
    <col min="14354" max="14354" width="11.5703125" style="176" customWidth="1"/>
    <col min="14355" max="14355" width="0" style="176" hidden="1" customWidth="1"/>
    <col min="14356" max="14591" width="7.85546875" style="176"/>
    <col min="14592" max="14592" width="3.28515625" style="176" customWidth="1"/>
    <col min="14593" max="14593" width="10.28515625" style="176" customWidth="1"/>
    <col min="14594" max="14594" width="0" style="176" hidden="1" customWidth="1"/>
    <col min="14595" max="14595" width="19.5703125" style="176" customWidth="1"/>
    <col min="14596" max="14596" width="11.7109375" style="176" customWidth="1"/>
    <col min="14597" max="14597" width="48.42578125" style="176" customWidth="1"/>
    <col min="14598" max="14598" width="13.140625" style="176" customWidth="1"/>
    <col min="14599" max="14599" width="12.7109375" style="176" customWidth="1"/>
    <col min="14600" max="14600" width="11.42578125" style="176" customWidth="1"/>
    <col min="14601" max="14601" width="10.85546875" style="176" customWidth="1"/>
    <col min="14602" max="14602" width="7.85546875" style="176" customWidth="1"/>
    <col min="14603" max="14603" width="9.5703125" style="176" customWidth="1"/>
    <col min="14604" max="14604" width="9" style="176" customWidth="1"/>
    <col min="14605" max="14605" width="0" style="176" hidden="1" customWidth="1"/>
    <col min="14606" max="14606" width="10.5703125" style="176" customWidth="1"/>
    <col min="14607" max="14607" width="9.5703125" style="176" customWidth="1"/>
    <col min="14608" max="14608" width="10" style="176" customWidth="1"/>
    <col min="14609" max="14609" width="9.28515625" style="176" customWidth="1"/>
    <col min="14610" max="14610" width="11.5703125" style="176" customWidth="1"/>
    <col min="14611" max="14611" width="0" style="176" hidden="1" customWidth="1"/>
    <col min="14612" max="14847" width="7.85546875" style="176"/>
    <col min="14848" max="14848" width="3.28515625" style="176" customWidth="1"/>
    <col min="14849" max="14849" width="10.28515625" style="176" customWidth="1"/>
    <col min="14850" max="14850" width="0" style="176" hidden="1" customWidth="1"/>
    <col min="14851" max="14851" width="19.5703125" style="176" customWidth="1"/>
    <col min="14852" max="14852" width="11.7109375" style="176" customWidth="1"/>
    <col min="14853" max="14853" width="48.42578125" style="176" customWidth="1"/>
    <col min="14854" max="14854" width="13.140625" style="176" customWidth="1"/>
    <col min="14855" max="14855" width="12.7109375" style="176" customWidth="1"/>
    <col min="14856" max="14856" width="11.42578125" style="176" customWidth="1"/>
    <col min="14857" max="14857" width="10.85546875" style="176" customWidth="1"/>
    <col min="14858" max="14858" width="7.85546875" style="176" customWidth="1"/>
    <col min="14859" max="14859" width="9.5703125" style="176" customWidth="1"/>
    <col min="14860" max="14860" width="9" style="176" customWidth="1"/>
    <col min="14861" max="14861" width="0" style="176" hidden="1" customWidth="1"/>
    <col min="14862" max="14862" width="10.5703125" style="176" customWidth="1"/>
    <col min="14863" max="14863" width="9.5703125" style="176" customWidth="1"/>
    <col min="14864" max="14864" width="10" style="176" customWidth="1"/>
    <col min="14865" max="14865" width="9.28515625" style="176" customWidth="1"/>
    <col min="14866" max="14866" width="11.5703125" style="176" customWidth="1"/>
    <col min="14867" max="14867" width="0" style="176" hidden="1" customWidth="1"/>
    <col min="14868" max="15103" width="7.85546875" style="176"/>
    <col min="15104" max="15104" width="3.28515625" style="176" customWidth="1"/>
    <col min="15105" max="15105" width="10.28515625" style="176" customWidth="1"/>
    <col min="15106" max="15106" width="0" style="176" hidden="1" customWidth="1"/>
    <col min="15107" max="15107" width="19.5703125" style="176" customWidth="1"/>
    <col min="15108" max="15108" width="11.7109375" style="176" customWidth="1"/>
    <col min="15109" max="15109" width="48.42578125" style="176" customWidth="1"/>
    <col min="15110" max="15110" width="13.140625" style="176" customWidth="1"/>
    <col min="15111" max="15111" width="12.7109375" style="176" customWidth="1"/>
    <col min="15112" max="15112" width="11.42578125" style="176" customWidth="1"/>
    <col min="15113" max="15113" width="10.85546875" style="176" customWidth="1"/>
    <col min="15114" max="15114" width="7.85546875" style="176" customWidth="1"/>
    <col min="15115" max="15115" width="9.5703125" style="176" customWidth="1"/>
    <col min="15116" max="15116" width="9" style="176" customWidth="1"/>
    <col min="15117" max="15117" width="0" style="176" hidden="1" customWidth="1"/>
    <col min="15118" max="15118" width="10.5703125" style="176" customWidth="1"/>
    <col min="15119" max="15119" width="9.5703125" style="176" customWidth="1"/>
    <col min="15120" max="15120" width="10" style="176" customWidth="1"/>
    <col min="15121" max="15121" width="9.28515625" style="176" customWidth="1"/>
    <col min="15122" max="15122" width="11.5703125" style="176" customWidth="1"/>
    <col min="15123" max="15123" width="0" style="176" hidden="1" customWidth="1"/>
    <col min="15124" max="15359" width="7.85546875" style="176"/>
    <col min="15360" max="15360" width="3.28515625" style="176" customWidth="1"/>
    <col min="15361" max="15361" width="10.28515625" style="176" customWidth="1"/>
    <col min="15362" max="15362" width="0" style="176" hidden="1" customWidth="1"/>
    <col min="15363" max="15363" width="19.5703125" style="176" customWidth="1"/>
    <col min="15364" max="15364" width="11.7109375" style="176" customWidth="1"/>
    <col min="15365" max="15365" width="48.42578125" style="176" customWidth="1"/>
    <col min="15366" max="15366" width="13.140625" style="176" customWidth="1"/>
    <col min="15367" max="15367" width="12.7109375" style="176" customWidth="1"/>
    <col min="15368" max="15368" width="11.42578125" style="176" customWidth="1"/>
    <col min="15369" max="15369" width="10.85546875" style="176" customWidth="1"/>
    <col min="15370" max="15370" width="7.85546875" style="176" customWidth="1"/>
    <col min="15371" max="15371" width="9.5703125" style="176" customWidth="1"/>
    <col min="15372" max="15372" width="9" style="176" customWidth="1"/>
    <col min="15373" max="15373" width="0" style="176" hidden="1" customWidth="1"/>
    <col min="15374" max="15374" width="10.5703125" style="176" customWidth="1"/>
    <col min="15375" max="15375" width="9.5703125" style="176" customWidth="1"/>
    <col min="15376" max="15376" width="10" style="176" customWidth="1"/>
    <col min="15377" max="15377" width="9.28515625" style="176" customWidth="1"/>
    <col min="15378" max="15378" width="11.5703125" style="176" customWidth="1"/>
    <col min="15379" max="15379" width="0" style="176" hidden="1" customWidth="1"/>
    <col min="15380" max="15615" width="7.85546875" style="176"/>
    <col min="15616" max="15616" width="3.28515625" style="176" customWidth="1"/>
    <col min="15617" max="15617" width="10.28515625" style="176" customWidth="1"/>
    <col min="15618" max="15618" width="0" style="176" hidden="1" customWidth="1"/>
    <col min="15619" max="15619" width="19.5703125" style="176" customWidth="1"/>
    <col min="15620" max="15620" width="11.7109375" style="176" customWidth="1"/>
    <col min="15621" max="15621" width="48.42578125" style="176" customWidth="1"/>
    <col min="15622" max="15622" width="13.140625" style="176" customWidth="1"/>
    <col min="15623" max="15623" width="12.7109375" style="176" customWidth="1"/>
    <col min="15624" max="15624" width="11.42578125" style="176" customWidth="1"/>
    <col min="15625" max="15625" width="10.85546875" style="176" customWidth="1"/>
    <col min="15626" max="15626" width="7.85546875" style="176" customWidth="1"/>
    <col min="15627" max="15627" width="9.5703125" style="176" customWidth="1"/>
    <col min="15628" max="15628" width="9" style="176" customWidth="1"/>
    <col min="15629" max="15629" width="0" style="176" hidden="1" customWidth="1"/>
    <col min="15630" max="15630" width="10.5703125" style="176" customWidth="1"/>
    <col min="15631" max="15631" width="9.5703125" style="176" customWidth="1"/>
    <col min="15632" max="15632" width="10" style="176" customWidth="1"/>
    <col min="15633" max="15633" width="9.28515625" style="176" customWidth="1"/>
    <col min="15634" max="15634" width="11.5703125" style="176" customWidth="1"/>
    <col min="15635" max="15635" width="0" style="176" hidden="1" customWidth="1"/>
    <col min="15636" max="15871" width="7.85546875" style="176"/>
    <col min="15872" max="15872" width="3.28515625" style="176" customWidth="1"/>
    <col min="15873" max="15873" width="10.28515625" style="176" customWidth="1"/>
    <col min="15874" max="15874" width="0" style="176" hidden="1" customWidth="1"/>
    <col min="15875" max="15875" width="19.5703125" style="176" customWidth="1"/>
    <col min="15876" max="15876" width="11.7109375" style="176" customWidth="1"/>
    <col min="15877" max="15877" width="48.42578125" style="176" customWidth="1"/>
    <col min="15878" max="15878" width="13.140625" style="176" customWidth="1"/>
    <col min="15879" max="15879" width="12.7109375" style="176" customWidth="1"/>
    <col min="15880" max="15880" width="11.42578125" style="176" customWidth="1"/>
    <col min="15881" max="15881" width="10.85546875" style="176" customWidth="1"/>
    <col min="15882" max="15882" width="7.85546875" style="176" customWidth="1"/>
    <col min="15883" max="15883" width="9.5703125" style="176" customWidth="1"/>
    <col min="15884" max="15884" width="9" style="176" customWidth="1"/>
    <col min="15885" max="15885" width="0" style="176" hidden="1" customWidth="1"/>
    <col min="15886" max="15886" width="10.5703125" style="176" customWidth="1"/>
    <col min="15887" max="15887" width="9.5703125" style="176" customWidth="1"/>
    <col min="15888" max="15888" width="10" style="176" customWidth="1"/>
    <col min="15889" max="15889" width="9.28515625" style="176" customWidth="1"/>
    <col min="15890" max="15890" width="11.5703125" style="176" customWidth="1"/>
    <col min="15891" max="15891" width="0" style="176" hidden="1" customWidth="1"/>
    <col min="15892" max="16127" width="7.85546875" style="176"/>
    <col min="16128" max="16128" width="3.28515625" style="176" customWidth="1"/>
    <col min="16129" max="16129" width="10.28515625" style="176" customWidth="1"/>
    <col min="16130" max="16130" width="0" style="176" hidden="1" customWidth="1"/>
    <col min="16131" max="16131" width="19.5703125" style="176" customWidth="1"/>
    <col min="16132" max="16132" width="11.7109375" style="176" customWidth="1"/>
    <col min="16133" max="16133" width="48.42578125" style="176" customWidth="1"/>
    <col min="16134" max="16134" width="13.140625" style="176" customWidth="1"/>
    <col min="16135" max="16135" width="12.7109375" style="176" customWidth="1"/>
    <col min="16136" max="16136" width="11.42578125" style="176" customWidth="1"/>
    <col min="16137" max="16137" width="10.85546875" style="176" customWidth="1"/>
    <col min="16138" max="16138" width="7.85546875" style="176" customWidth="1"/>
    <col min="16139" max="16139" width="9.5703125" style="176" customWidth="1"/>
    <col min="16140" max="16140" width="9" style="176" customWidth="1"/>
    <col min="16141" max="16141" width="0" style="176" hidden="1" customWidth="1"/>
    <col min="16142" max="16142" width="10.5703125" style="176" customWidth="1"/>
    <col min="16143" max="16143" width="9.5703125" style="176" customWidth="1"/>
    <col min="16144" max="16144" width="10" style="176" customWidth="1"/>
    <col min="16145" max="16145" width="9.28515625" style="176" customWidth="1"/>
    <col min="16146" max="16146" width="11.5703125" style="176" customWidth="1"/>
    <col min="16147" max="16147" width="0" style="176" hidden="1" customWidth="1"/>
    <col min="16148" max="16384" width="7.85546875" style="176"/>
  </cols>
  <sheetData>
    <row r="1" spans="1:19" ht="15.75" x14ac:dyDescent="0.25">
      <c r="B1" s="173"/>
      <c r="C1" s="173"/>
      <c r="D1" s="173"/>
      <c r="E1" s="173"/>
      <c r="F1" s="173"/>
      <c r="G1" s="173"/>
      <c r="H1" s="173"/>
      <c r="I1" s="173"/>
      <c r="J1" s="173"/>
      <c r="K1" s="174"/>
      <c r="L1" s="174"/>
      <c r="M1" s="174"/>
      <c r="N1" s="874" t="s">
        <v>371</v>
      </c>
      <c r="O1" s="874"/>
      <c r="P1" s="874"/>
      <c r="Q1" s="174"/>
      <c r="R1" s="173"/>
      <c r="S1" s="175"/>
    </row>
    <row r="2" spans="1:19" ht="15.75" x14ac:dyDescent="0.25">
      <c r="B2" s="173"/>
      <c r="C2" s="173"/>
      <c r="D2" s="173"/>
      <c r="E2" s="173"/>
      <c r="F2" s="173"/>
      <c r="G2" s="173"/>
      <c r="H2" s="173"/>
      <c r="I2" s="173"/>
      <c r="J2" s="173"/>
      <c r="K2" s="174"/>
      <c r="L2" s="174"/>
      <c r="M2" s="174"/>
      <c r="N2" s="14" t="s">
        <v>809</v>
      </c>
      <c r="O2" s="177"/>
      <c r="P2" s="177"/>
      <c r="Q2" s="174"/>
      <c r="R2" s="173"/>
      <c r="S2" s="175"/>
    </row>
    <row r="3" spans="1:19" ht="18.75" x14ac:dyDescent="0.3">
      <c r="B3" s="173"/>
      <c r="C3" s="173"/>
      <c r="D3" s="173"/>
      <c r="E3" s="13"/>
      <c r="F3" s="173"/>
      <c r="G3" s="173"/>
      <c r="H3" s="173"/>
      <c r="I3" s="173"/>
      <c r="J3" s="173"/>
      <c r="K3" s="174"/>
      <c r="L3" s="174"/>
      <c r="M3" s="174"/>
      <c r="N3" s="14" t="s">
        <v>185</v>
      </c>
      <c r="O3" s="177"/>
      <c r="P3" s="177"/>
      <c r="Q3" s="174"/>
      <c r="R3" s="173"/>
      <c r="S3" s="175"/>
    </row>
    <row r="4" spans="1:19" ht="15.75" x14ac:dyDescent="0.25">
      <c r="B4" s="173"/>
      <c r="C4" s="173"/>
      <c r="D4" s="173"/>
      <c r="E4" s="173"/>
      <c r="F4" s="173"/>
      <c r="G4" s="173"/>
      <c r="H4" s="173"/>
      <c r="I4" s="173"/>
      <c r="J4" s="173"/>
      <c r="K4" s="174"/>
      <c r="L4" s="174"/>
      <c r="M4" s="174"/>
      <c r="N4" s="14" t="s">
        <v>989</v>
      </c>
      <c r="O4" s="177"/>
      <c r="P4" s="177"/>
      <c r="Q4" s="174"/>
      <c r="R4" s="173"/>
      <c r="S4" s="175"/>
    </row>
    <row r="5" spans="1:19" ht="40.5" customHeight="1" x14ac:dyDescent="0.2">
      <c r="B5" s="875" t="s">
        <v>812</v>
      </c>
      <c r="C5" s="875"/>
      <c r="D5" s="875"/>
      <c r="E5" s="875"/>
      <c r="F5" s="875"/>
      <c r="G5" s="875"/>
      <c r="H5" s="875"/>
      <c r="I5" s="875"/>
      <c r="J5" s="875"/>
      <c r="K5" s="875"/>
      <c r="L5" s="875"/>
      <c r="M5" s="875"/>
      <c r="N5" s="875"/>
      <c r="O5" s="875"/>
      <c r="P5" s="875"/>
      <c r="Q5" s="875"/>
      <c r="R5" s="875"/>
      <c r="S5" s="175"/>
    </row>
    <row r="6" spans="1:19" ht="18" customHeight="1" x14ac:dyDescent="0.2">
      <c r="B6" s="693"/>
      <c r="C6" s="178"/>
      <c r="D6" s="693"/>
      <c r="E6" s="178">
        <v>11503000000</v>
      </c>
      <c r="F6" s="693"/>
      <c r="G6" s="693"/>
      <c r="H6" s="693"/>
      <c r="I6" s="693"/>
      <c r="J6" s="693"/>
      <c r="K6" s="693"/>
      <c r="L6" s="693"/>
      <c r="M6" s="693"/>
      <c r="N6" s="693"/>
      <c r="O6" s="693"/>
      <c r="P6" s="693"/>
      <c r="Q6" s="693"/>
      <c r="R6" s="693"/>
      <c r="S6" s="175"/>
    </row>
    <row r="7" spans="1:19" ht="19.5" customHeight="1" x14ac:dyDescent="0.2">
      <c r="B7" s="693"/>
      <c r="C7" s="178"/>
      <c r="D7" s="693"/>
      <c r="E7" s="178" t="s">
        <v>2</v>
      </c>
      <c r="F7" s="693"/>
      <c r="G7" s="693"/>
      <c r="H7" s="693"/>
      <c r="I7" s="693"/>
      <c r="J7" s="693"/>
      <c r="K7" s="693"/>
      <c r="L7" s="693"/>
      <c r="M7" s="693"/>
      <c r="N7" s="693"/>
      <c r="O7" s="693"/>
      <c r="P7" s="693"/>
      <c r="Q7" s="693"/>
      <c r="R7" s="693"/>
      <c r="S7" s="175"/>
    </row>
    <row r="8" spans="1:19" ht="15.75" customHeight="1" thickBot="1" x14ac:dyDescent="0.35">
      <c r="B8" s="179"/>
      <c r="C8" s="180"/>
      <c r="D8" s="180"/>
      <c r="E8" s="180"/>
      <c r="F8" s="180"/>
      <c r="G8" s="180"/>
      <c r="H8" s="181"/>
      <c r="I8" s="180"/>
      <c r="J8" s="180"/>
      <c r="K8" s="182"/>
      <c r="L8" s="183"/>
      <c r="M8" s="183"/>
      <c r="N8" s="183"/>
      <c r="O8" s="183"/>
      <c r="P8" s="183"/>
      <c r="Q8" s="183"/>
      <c r="R8" s="17" t="s">
        <v>188</v>
      </c>
    </row>
    <row r="9" spans="1:19" s="185" customFormat="1" ht="21.75" customHeight="1" x14ac:dyDescent="0.2">
      <c r="A9" s="184"/>
      <c r="B9" s="876" t="s">
        <v>372</v>
      </c>
      <c r="C9" s="878" t="s">
        <v>373</v>
      </c>
      <c r="D9" s="880" t="s">
        <v>6</v>
      </c>
      <c r="E9" s="882" t="s">
        <v>374</v>
      </c>
      <c r="F9" s="884" t="s">
        <v>11</v>
      </c>
      <c r="G9" s="884"/>
      <c r="H9" s="884"/>
      <c r="I9" s="884"/>
      <c r="J9" s="884"/>
      <c r="K9" s="884" t="s">
        <v>12</v>
      </c>
      <c r="L9" s="884"/>
      <c r="M9" s="884"/>
      <c r="N9" s="884"/>
      <c r="O9" s="884"/>
      <c r="P9" s="884"/>
      <c r="Q9" s="884"/>
      <c r="R9" s="885" t="s">
        <v>375</v>
      </c>
    </row>
    <row r="10" spans="1:19" s="185" customFormat="1" ht="16.5" customHeight="1" x14ac:dyDescent="0.2">
      <c r="A10" s="186"/>
      <c r="B10" s="877"/>
      <c r="C10" s="879"/>
      <c r="D10" s="881"/>
      <c r="E10" s="883"/>
      <c r="F10" s="870" t="s">
        <v>10</v>
      </c>
      <c r="G10" s="889" t="s">
        <v>376</v>
      </c>
      <c r="H10" s="870" t="s">
        <v>377</v>
      </c>
      <c r="I10" s="870"/>
      <c r="J10" s="889" t="s">
        <v>378</v>
      </c>
      <c r="K10" s="870" t="s">
        <v>10</v>
      </c>
      <c r="L10" s="691"/>
      <c r="M10" s="872" t="s">
        <v>379</v>
      </c>
      <c r="N10" s="692"/>
      <c r="O10" s="887" t="s">
        <v>377</v>
      </c>
      <c r="P10" s="888"/>
      <c r="Q10" s="889" t="s">
        <v>378</v>
      </c>
      <c r="R10" s="886"/>
    </row>
    <row r="11" spans="1:19" s="185" customFormat="1" ht="64.900000000000006" customHeight="1" thickBot="1" x14ac:dyDescent="0.25">
      <c r="A11" s="187"/>
      <c r="B11" s="877"/>
      <c r="C11" s="879"/>
      <c r="D11" s="881"/>
      <c r="E11" s="883"/>
      <c r="F11" s="871"/>
      <c r="G11" s="872"/>
      <c r="H11" s="692" t="s">
        <v>380</v>
      </c>
      <c r="I11" s="692" t="s">
        <v>381</v>
      </c>
      <c r="J11" s="872"/>
      <c r="K11" s="871"/>
      <c r="L11" s="188" t="s">
        <v>14</v>
      </c>
      <c r="M11" s="873"/>
      <c r="N11" s="188" t="s">
        <v>376</v>
      </c>
      <c r="O11" s="692" t="s">
        <v>380</v>
      </c>
      <c r="P11" s="692" t="s">
        <v>381</v>
      </c>
      <c r="Q11" s="872"/>
      <c r="R11" s="886"/>
    </row>
    <row r="12" spans="1:19" s="194" customFormat="1" ht="21" customHeight="1" thickBot="1" x14ac:dyDescent="0.25">
      <c r="A12" s="189"/>
      <c r="B12" s="190" t="s">
        <v>382</v>
      </c>
      <c r="C12" s="191" t="s">
        <v>383</v>
      </c>
      <c r="D12" s="645" t="s">
        <v>384</v>
      </c>
      <c r="E12" s="658">
        <v>4</v>
      </c>
      <c r="F12" s="192">
        <v>5</v>
      </c>
      <c r="G12" s="192">
        <v>6</v>
      </c>
      <c r="H12" s="192">
        <v>7</v>
      </c>
      <c r="I12" s="192">
        <v>8</v>
      </c>
      <c r="J12" s="192">
        <v>9</v>
      </c>
      <c r="K12" s="193">
        <v>10</v>
      </c>
      <c r="L12" s="193">
        <v>11</v>
      </c>
      <c r="M12" s="193">
        <v>12</v>
      </c>
      <c r="N12" s="193">
        <v>12</v>
      </c>
      <c r="O12" s="193">
        <v>13</v>
      </c>
      <c r="P12" s="193">
        <v>14</v>
      </c>
      <c r="Q12" s="193">
        <v>15</v>
      </c>
      <c r="R12" s="659">
        <v>16</v>
      </c>
    </row>
    <row r="13" spans="1:19" s="194" customFormat="1" ht="15.75" x14ac:dyDescent="0.2">
      <c r="A13" s="189"/>
      <c r="B13" s="195" t="s">
        <v>15</v>
      </c>
      <c r="C13" s="196"/>
      <c r="D13" s="646"/>
      <c r="E13" s="660" t="s">
        <v>712</v>
      </c>
      <c r="F13" s="197">
        <f>F14</f>
        <v>195000</v>
      </c>
      <c r="G13" s="197">
        <f t="shared" ref="G13:R13" si="0">G14</f>
        <v>195000</v>
      </c>
      <c r="H13" s="197">
        <f t="shared" si="0"/>
        <v>0</v>
      </c>
      <c r="I13" s="197">
        <f t="shared" si="0"/>
        <v>0</v>
      </c>
      <c r="J13" s="197">
        <f t="shared" si="0"/>
        <v>0</v>
      </c>
      <c r="K13" s="772">
        <f t="shared" si="0"/>
        <v>0</v>
      </c>
      <c r="L13" s="772">
        <f t="shared" si="0"/>
        <v>0</v>
      </c>
      <c r="M13" s="772">
        <f t="shared" si="0"/>
        <v>0</v>
      </c>
      <c r="N13" s="772">
        <f t="shared" si="0"/>
        <v>0</v>
      </c>
      <c r="O13" s="772">
        <f t="shared" si="0"/>
        <v>0</v>
      </c>
      <c r="P13" s="772">
        <f t="shared" si="0"/>
        <v>0</v>
      </c>
      <c r="Q13" s="772">
        <f t="shared" si="0"/>
        <v>0</v>
      </c>
      <c r="R13" s="773">
        <f t="shared" si="0"/>
        <v>195000</v>
      </c>
    </row>
    <row r="14" spans="1:19" s="185" customFormat="1" ht="15.75" x14ac:dyDescent="0.2">
      <c r="A14" s="198"/>
      <c r="B14" s="199" t="s">
        <v>385</v>
      </c>
      <c r="C14" s="200"/>
      <c r="D14" s="647"/>
      <c r="E14" s="661" t="s">
        <v>712</v>
      </c>
      <c r="F14" s="201">
        <f>F18+F20+F34+F35+F36+F37+F38+F39+F40+F41+F43+F44+F45+F46+F47+F48+F50+F54+F55+F57+F58+F59+F60+F61+F62+F63+F65+F67+F70+F74+F75+F76+F77+F78+F79+F80+F73+F68+F69+F28+F33+F21+F23+F56+F82+F64+F71+F66</f>
        <v>195000</v>
      </c>
      <c r="G14" s="201">
        <f>G18+G20+G34+G35+G36+G37+G38+G39+G40+G41+G43+G44+G45+G46+G47+G48+G50+G54+G55+G57+G58+G59+G60+G61+G62+G63+G65+G67+G70+G74+G75+G76+G77+G78+G79+G80+G73+G68+G69+G28+G33+G21+G23+G56+G82+G64+G71+G66</f>
        <v>195000</v>
      </c>
      <c r="H14" s="201">
        <f t="shared" ref="H14:R14" si="1">H18+H20+H34+H35+H36+H37+H38+H39+H40+H41+H43+H44+H45+H46+H47+H48+H50+H54+H55+H57+H58+H59+H60+H61+H62+H63+H65+H67+H70+H74+H75+H76+H77+H78+H79+H80+H73+H68+H69+H28+H33+H21+H23+H56+H82+H64+H71+H66</f>
        <v>0</v>
      </c>
      <c r="I14" s="201">
        <f t="shared" si="1"/>
        <v>0</v>
      </c>
      <c r="J14" s="201">
        <f t="shared" si="1"/>
        <v>0</v>
      </c>
      <c r="K14" s="201">
        <f t="shared" si="1"/>
        <v>0</v>
      </c>
      <c r="L14" s="201">
        <f t="shared" si="1"/>
        <v>0</v>
      </c>
      <c r="M14" s="201">
        <f t="shared" si="1"/>
        <v>0</v>
      </c>
      <c r="N14" s="201">
        <f t="shared" si="1"/>
        <v>0</v>
      </c>
      <c r="O14" s="201">
        <f t="shared" si="1"/>
        <v>0</v>
      </c>
      <c r="P14" s="201">
        <f t="shared" si="1"/>
        <v>0</v>
      </c>
      <c r="Q14" s="201">
        <f t="shared" si="1"/>
        <v>0</v>
      </c>
      <c r="R14" s="201">
        <f t="shared" si="1"/>
        <v>195000</v>
      </c>
    </row>
    <row r="15" spans="1:19" s="185" customFormat="1" ht="15.75" hidden="1" customHeight="1" x14ac:dyDescent="0.2">
      <c r="A15" s="198"/>
      <c r="B15" s="199"/>
      <c r="C15" s="200"/>
      <c r="D15" s="647"/>
      <c r="E15" s="464" t="s">
        <v>386</v>
      </c>
      <c r="F15" s="203">
        <f t="shared" ref="F15:F32" si="2">G15+J15</f>
        <v>0</v>
      </c>
      <c r="G15" s="201"/>
      <c r="H15" s="201"/>
      <c r="I15" s="201"/>
      <c r="J15" s="201"/>
      <c r="K15" s="204">
        <f>N15+L15</f>
        <v>0</v>
      </c>
      <c r="L15" s="204"/>
      <c r="M15" s="204"/>
      <c r="N15" s="204"/>
      <c r="O15" s="204"/>
      <c r="P15" s="204"/>
      <c r="Q15" s="204"/>
      <c r="R15" s="205">
        <f t="shared" ref="R15:R101" si="3">F15+K15</f>
        <v>0</v>
      </c>
    </row>
    <row r="16" spans="1:19" s="185" customFormat="1" ht="15.75" hidden="1" customHeight="1" x14ac:dyDescent="0.2">
      <c r="A16" s="198"/>
      <c r="B16" s="199"/>
      <c r="C16" s="200"/>
      <c r="D16" s="647"/>
      <c r="E16" s="662" t="s">
        <v>387</v>
      </c>
      <c r="F16" s="201">
        <f t="shared" si="2"/>
        <v>0</v>
      </c>
      <c r="G16" s="203">
        <f>G72</f>
        <v>0</v>
      </c>
      <c r="H16" s="203"/>
      <c r="I16" s="203"/>
      <c r="J16" s="203">
        <f t="shared" ref="J16:Q16" si="4">J81</f>
        <v>0</v>
      </c>
      <c r="K16" s="203">
        <f t="shared" si="4"/>
        <v>0</v>
      </c>
      <c r="L16" s="203">
        <f t="shared" si="4"/>
        <v>0</v>
      </c>
      <c r="M16" s="203">
        <f t="shared" si="4"/>
        <v>0</v>
      </c>
      <c r="N16" s="203">
        <f t="shared" si="4"/>
        <v>0</v>
      </c>
      <c r="O16" s="203">
        <f t="shared" si="4"/>
        <v>0</v>
      </c>
      <c r="P16" s="203">
        <f t="shared" si="4"/>
        <v>0</v>
      </c>
      <c r="Q16" s="203">
        <f t="shared" si="4"/>
        <v>0</v>
      </c>
      <c r="R16" s="206">
        <f t="shared" si="3"/>
        <v>0</v>
      </c>
    </row>
    <row r="17" spans="1:18" s="185" customFormat="1" ht="15.75" hidden="1" customHeight="1" x14ac:dyDescent="0.2">
      <c r="A17" s="198"/>
      <c r="B17" s="199"/>
      <c r="C17" s="200"/>
      <c r="D17" s="647"/>
      <c r="E17" s="662" t="s">
        <v>388</v>
      </c>
      <c r="F17" s="201">
        <f>G17+J17</f>
        <v>0</v>
      </c>
      <c r="G17" s="203">
        <f>G30+G19+G51</f>
        <v>0</v>
      </c>
      <c r="H17" s="207"/>
      <c r="I17" s="207"/>
      <c r="J17" s="207">
        <f>J19+J53</f>
        <v>0</v>
      </c>
      <c r="K17" s="207">
        <f>K19+K53</f>
        <v>0</v>
      </c>
      <c r="L17" s="207"/>
      <c r="M17" s="207"/>
      <c r="N17" s="207"/>
      <c r="O17" s="207"/>
      <c r="P17" s="207"/>
      <c r="Q17" s="207"/>
      <c r="R17" s="206">
        <f t="shared" si="3"/>
        <v>0</v>
      </c>
    </row>
    <row r="18" spans="1:18" s="185" customFormat="1" ht="78.75" hidden="1" customHeight="1" x14ac:dyDescent="0.2">
      <c r="A18" s="198"/>
      <c r="B18" s="199" t="s">
        <v>17</v>
      </c>
      <c r="C18" s="208" t="s">
        <v>18</v>
      </c>
      <c r="D18" s="648" t="s">
        <v>19</v>
      </c>
      <c r="E18" s="662" t="s">
        <v>389</v>
      </c>
      <c r="F18" s="201">
        <f t="shared" si="2"/>
        <v>0</v>
      </c>
      <c r="G18" s="451"/>
      <c r="H18" s="203"/>
      <c r="I18" s="203"/>
      <c r="J18" s="203"/>
      <c r="K18" s="204">
        <f>N18+L18</f>
        <v>0</v>
      </c>
      <c r="L18" s="209">
        <v>0</v>
      </c>
      <c r="M18" s="209"/>
      <c r="N18" s="209"/>
      <c r="O18" s="209"/>
      <c r="P18" s="209"/>
      <c r="Q18" s="209">
        <v>0</v>
      </c>
      <c r="R18" s="206">
        <f t="shared" si="3"/>
        <v>0</v>
      </c>
    </row>
    <row r="19" spans="1:18" s="185" customFormat="1" ht="31.5" hidden="1" customHeight="1" x14ac:dyDescent="0.2">
      <c r="A19" s="198"/>
      <c r="B19" s="199"/>
      <c r="C19" s="208"/>
      <c r="D19" s="648"/>
      <c r="E19" s="464" t="s">
        <v>390</v>
      </c>
      <c r="F19" s="201">
        <f t="shared" si="2"/>
        <v>0</v>
      </c>
      <c r="G19" s="207"/>
      <c r="H19" s="203"/>
      <c r="I19" s="203"/>
      <c r="J19" s="203"/>
      <c r="K19" s="204"/>
      <c r="L19" s="209"/>
      <c r="M19" s="209"/>
      <c r="N19" s="209"/>
      <c r="O19" s="209"/>
      <c r="P19" s="209"/>
      <c r="Q19" s="209"/>
      <c r="R19" s="206">
        <f t="shared" si="3"/>
        <v>0</v>
      </c>
    </row>
    <row r="20" spans="1:18" s="185" customFormat="1" ht="15.75" hidden="1" x14ac:dyDescent="0.2">
      <c r="A20" s="198"/>
      <c r="B20" s="199" t="s">
        <v>23</v>
      </c>
      <c r="C20" s="208" t="s">
        <v>24</v>
      </c>
      <c r="D20" s="648" t="s">
        <v>25</v>
      </c>
      <c r="E20" s="662" t="s">
        <v>26</v>
      </c>
      <c r="F20" s="201">
        <f t="shared" si="2"/>
        <v>0</v>
      </c>
      <c r="G20" s="203"/>
      <c r="H20" s="203"/>
      <c r="I20" s="203"/>
      <c r="J20" s="203"/>
      <c r="K20" s="204">
        <f t="shared" ref="K20:K108" si="5">N20+L20</f>
        <v>0</v>
      </c>
      <c r="L20" s="209"/>
      <c r="M20" s="209"/>
      <c r="N20" s="209"/>
      <c r="O20" s="209"/>
      <c r="P20" s="209"/>
      <c r="Q20" s="209"/>
      <c r="R20" s="206">
        <f t="shared" si="3"/>
        <v>0</v>
      </c>
    </row>
    <row r="21" spans="1:18" s="185" customFormat="1" ht="15.75" hidden="1" x14ac:dyDescent="0.2">
      <c r="A21" s="198"/>
      <c r="B21" s="774"/>
      <c r="C21" s="775"/>
      <c r="D21" s="776"/>
      <c r="E21" s="777"/>
      <c r="F21" s="778"/>
      <c r="G21" s="779"/>
      <c r="H21" s="779"/>
      <c r="I21" s="779"/>
      <c r="J21" s="203"/>
      <c r="K21" s="204"/>
      <c r="L21" s="209"/>
      <c r="M21" s="209"/>
      <c r="N21" s="209"/>
      <c r="O21" s="209"/>
      <c r="P21" s="209"/>
      <c r="Q21" s="209"/>
      <c r="R21" s="206">
        <f t="shared" si="3"/>
        <v>0</v>
      </c>
    </row>
    <row r="22" spans="1:18" s="185" customFormat="1" ht="15.75" hidden="1" x14ac:dyDescent="0.2">
      <c r="A22" s="198"/>
      <c r="B22" s="774"/>
      <c r="C22" s="775"/>
      <c r="D22" s="776"/>
      <c r="E22" s="777"/>
      <c r="F22" s="778"/>
      <c r="G22" s="779"/>
      <c r="H22" s="779"/>
      <c r="I22" s="779"/>
      <c r="J22" s="203"/>
      <c r="K22" s="204"/>
      <c r="L22" s="209"/>
      <c r="M22" s="209"/>
      <c r="N22" s="209"/>
      <c r="O22" s="209"/>
      <c r="P22" s="209"/>
      <c r="Q22" s="209"/>
      <c r="R22" s="206">
        <f t="shared" si="3"/>
        <v>0</v>
      </c>
    </row>
    <row r="23" spans="1:18" s="185" customFormat="1" ht="15.75" hidden="1" x14ac:dyDescent="0.2">
      <c r="A23" s="198"/>
      <c r="B23" s="774"/>
      <c r="C23" s="775"/>
      <c r="D23" s="776"/>
      <c r="E23" s="777"/>
      <c r="F23" s="778"/>
      <c r="G23" s="779"/>
      <c r="H23" s="779"/>
      <c r="I23" s="779"/>
      <c r="J23" s="203"/>
      <c r="K23" s="204"/>
      <c r="L23" s="209"/>
      <c r="M23" s="209"/>
      <c r="N23" s="209"/>
      <c r="O23" s="209"/>
      <c r="P23" s="209"/>
      <c r="Q23" s="209"/>
      <c r="R23" s="206">
        <f t="shared" si="3"/>
        <v>0</v>
      </c>
    </row>
    <row r="24" spans="1:18" s="185" customFormat="1" ht="15.75" hidden="1" x14ac:dyDescent="0.2">
      <c r="A24" s="198"/>
      <c r="B24" s="199"/>
      <c r="C24" s="208"/>
      <c r="D24" s="648"/>
      <c r="E24" s="663" t="s">
        <v>397</v>
      </c>
      <c r="F24" s="201"/>
      <c r="G24" s="203"/>
      <c r="H24" s="203"/>
      <c r="I24" s="203"/>
      <c r="J24" s="203"/>
      <c r="K24" s="204"/>
      <c r="L24" s="209"/>
      <c r="M24" s="209"/>
      <c r="N24" s="209"/>
      <c r="O24" s="209"/>
      <c r="P24" s="209"/>
      <c r="Q24" s="209"/>
      <c r="R24" s="206">
        <f t="shared" si="3"/>
        <v>0</v>
      </c>
    </row>
    <row r="25" spans="1:18" s="185" customFormat="1" ht="15.75" hidden="1" x14ac:dyDescent="0.2">
      <c r="A25" s="198"/>
      <c r="B25" s="199"/>
      <c r="C25" s="208"/>
      <c r="D25" s="648"/>
      <c r="E25" s="663" t="s">
        <v>387</v>
      </c>
      <c r="F25" s="201">
        <f t="shared" si="2"/>
        <v>0</v>
      </c>
      <c r="G25" s="203"/>
      <c r="H25" s="203"/>
      <c r="I25" s="203"/>
      <c r="J25" s="203"/>
      <c r="K25" s="204"/>
      <c r="L25" s="209"/>
      <c r="M25" s="209"/>
      <c r="N25" s="209"/>
      <c r="O25" s="209"/>
      <c r="P25" s="209"/>
      <c r="Q25" s="209"/>
      <c r="R25" s="206">
        <f t="shared" si="3"/>
        <v>0</v>
      </c>
    </row>
    <row r="26" spans="1:18" s="185" customFormat="1" ht="31.5" hidden="1" x14ac:dyDescent="0.2">
      <c r="A26" s="198"/>
      <c r="B26" s="199"/>
      <c r="C26" s="208"/>
      <c r="D26" s="648"/>
      <c r="E26" s="663" t="s">
        <v>398</v>
      </c>
      <c r="F26" s="201"/>
      <c r="G26" s="203"/>
      <c r="H26" s="203"/>
      <c r="I26" s="203"/>
      <c r="J26" s="203"/>
      <c r="K26" s="204"/>
      <c r="L26" s="209"/>
      <c r="M26" s="209"/>
      <c r="N26" s="209"/>
      <c r="O26" s="209"/>
      <c r="P26" s="209"/>
      <c r="Q26" s="209"/>
      <c r="R26" s="206">
        <f t="shared" si="3"/>
        <v>0</v>
      </c>
    </row>
    <row r="27" spans="1:18" s="185" customFormat="1" ht="31.5" hidden="1" x14ac:dyDescent="0.2">
      <c r="A27" s="198"/>
      <c r="B27" s="199"/>
      <c r="C27" s="208"/>
      <c r="D27" s="648"/>
      <c r="E27" s="663" t="s">
        <v>399</v>
      </c>
      <c r="F27" s="201">
        <f t="shared" si="2"/>
        <v>0</v>
      </c>
      <c r="G27" s="203"/>
      <c r="H27" s="203"/>
      <c r="I27" s="203"/>
      <c r="J27" s="203"/>
      <c r="K27" s="204"/>
      <c r="L27" s="209"/>
      <c r="M27" s="209"/>
      <c r="N27" s="209"/>
      <c r="O27" s="209"/>
      <c r="P27" s="209"/>
      <c r="Q27" s="209"/>
      <c r="R27" s="206">
        <f t="shared" si="3"/>
        <v>0</v>
      </c>
    </row>
    <row r="28" spans="1:18" s="185" customFormat="1" ht="43.5" hidden="1" customHeight="1" x14ac:dyDescent="0.2">
      <c r="A28" s="172"/>
      <c r="B28" s="212" t="s">
        <v>400</v>
      </c>
      <c r="C28" s="213" t="s">
        <v>401</v>
      </c>
      <c r="D28" s="650" t="s">
        <v>402</v>
      </c>
      <c r="E28" s="664" t="s">
        <v>403</v>
      </c>
      <c r="F28" s="214">
        <f t="shared" si="2"/>
        <v>0</v>
      </c>
      <c r="G28" s="215"/>
      <c r="H28" s="203"/>
      <c r="I28" s="203"/>
      <c r="J28" s="203"/>
      <c r="K28" s="204">
        <f t="shared" si="5"/>
        <v>0</v>
      </c>
      <c r="L28" s="209"/>
      <c r="M28" s="209"/>
      <c r="N28" s="209"/>
      <c r="O28" s="209"/>
      <c r="P28" s="209"/>
      <c r="Q28" s="209"/>
      <c r="R28" s="206">
        <f t="shared" si="3"/>
        <v>0</v>
      </c>
    </row>
    <row r="29" spans="1:18" s="185" customFormat="1" ht="15.75" hidden="1" x14ac:dyDescent="0.2">
      <c r="A29" s="172"/>
      <c r="B29" s="212"/>
      <c r="C29" s="213"/>
      <c r="D29" s="650"/>
      <c r="E29" s="665" t="s">
        <v>359</v>
      </c>
      <c r="F29" s="214"/>
      <c r="G29" s="215"/>
      <c r="H29" s="203"/>
      <c r="I29" s="203"/>
      <c r="J29" s="203"/>
      <c r="K29" s="204"/>
      <c r="L29" s="209"/>
      <c r="M29" s="209"/>
      <c r="N29" s="209"/>
      <c r="O29" s="209"/>
      <c r="P29" s="209"/>
      <c r="Q29" s="209"/>
      <c r="R29" s="206">
        <f t="shared" si="3"/>
        <v>0</v>
      </c>
    </row>
    <row r="30" spans="1:18" s="185" customFormat="1" ht="67.5" hidden="1" customHeight="1" x14ac:dyDescent="0.2">
      <c r="A30" s="172"/>
      <c r="B30" s="212"/>
      <c r="C30" s="213"/>
      <c r="D30" s="650"/>
      <c r="E30" s="664" t="s">
        <v>404</v>
      </c>
      <c r="F30" s="214">
        <f t="shared" si="2"/>
        <v>0</v>
      </c>
      <c r="G30" s="215"/>
      <c r="H30" s="203"/>
      <c r="I30" s="203"/>
      <c r="J30" s="203"/>
      <c r="K30" s="204">
        <f t="shared" si="5"/>
        <v>0</v>
      </c>
      <c r="L30" s="209"/>
      <c r="M30" s="209"/>
      <c r="N30" s="209"/>
      <c r="O30" s="209"/>
      <c r="P30" s="209"/>
      <c r="Q30" s="209"/>
      <c r="R30" s="206">
        <f t="shared" si="3"/>
        <v>0</v>
      </c>
    </row>
    <row r="31" spans="1:18" s="185" customFormat="1" ht="15.75" hidden="1" x14ac:dyDescent="0.2">
      <c r="A31" s="172"/>
      <c r="B31" s="212"/>
      <c r="C31" s="213"/>
      <c r="D31" s="650"/>
      <c r="E31" s="664" t="s">
        <v>405</v>
      </c>
      <c r="F31" s="214">
        <f t="shared" si="2"/>
        <v>0</v>
      </c>
      <c r="G31" s="215"/>
      <c r="H31" s="203"/>
      <c r="I31" s="203"/>
      <c r="J31" s="203"/>
      <c r="K31" s="204"/>
      <c r="L31" s="209"/>
      <c r="M31" s="209"/>
      <c r="N31" s="209"/>
      <c r="O31" s="209"/>
      <c r="P31" s="209"/>
      <c r="Q31" s="209"/>
      <c r="R31" s="206">
        <f t="shared" si="3"/>
        <v>0</v>
      </c>
    </row>
    <row r="32" spans="1:18" s="185" customFormat="1" ht="67.5" hidden="1" customHeight="1" x14ac:dyDescent="0.2">
      <c r="A32" s="172"/>
      <c r="B32" s="212"/>
      <c r="C32" s="213"/>
      <c r="D32" s="650"/>
      <c r="E32" s="664"/>
      <c r="F32" s="214">
        <f t="shared" si="2"/>
        <v>0</v>
      </c>
      <c r="G32" s="215"/>
      <c r="H32" s="203"/>
      <c r="I32" s="203"/>
      <c r="J32" s="203"/>
      <c r="K32" s="204"/>
      <c r="L32" s="209"/>
      <c r="M32" s="209"/>
      <c r="N32" s="209"/>
      <c r="O32" s="209"/>
      <c r="P32" s="209"/>
      <c r="Q32" s="209"/>
      <c r="R32" s="206">
        <f t="shared" si="3"/>
        <v>0</v>
      </c>
    </row>
    <row r="33" spans="1:18" s="185" customFormat="1" ht="40.5" hidden="1" customHeight="1" x14ac:dyDescent="0.2">
      <c r="A33" s="172"/>
      <c r="B33" s="212" t="s">
        <v>27</v>
      </c>
      <c r="C33" s="213" t="s">
        <v>28</v>
      </c>
      <c r="D33" s="650" t="s">
        <v>29</v>
      </c>
      <c r="E33" s="664" t="s">
        <v>406</v>
      </c>
      <c r="F33" s="214">
        <f>G33+J33</f>
        <v>0</v>
      </c>
      <c r="G33" s="215"/>
      <c r="H33" s="203"/>
      <c r="I33" s="203"/>
      <c r="J33" s="203"/>
      <c r="K33" s="204"/>
      <c r="L33" s="209"/>
      <c r="M33" s="209"/>
      <c r="N33" s="209"/>
      <c r="O33" s="209"/>
      <c r="P33" s="209"/>
      <c r="Q33" s="209"/>
      <c r="R33" s="206">
        <f t="shared" si="3"/>
        <v>0</v>
      </c>
    </row>
    <row r="34" spans="1:18" s="185" customFormat="1" ht="63" hidden="1" x14ac:dyDescent="0.2">
      <c r="A34" s="172"/>
      <c r="B34" s="216" t="s">
        <v>33</v>
      </c>
      <c r="C34" s="213" t="s">
        <v>34</v>
      </c>
      <c r="D34" s="650" t="s">
        <v>35</v>
      </c>
      <c r="E34" s="666" t="s">
        <v>407</v>
      </c>
      <c r="F34" s="214">
        <f t="shared" ref="F34:F85" si="6">G34+J34</f>
        <v>0</v>
      </c>
      <c r="G34" s="215"/>
      <c r="H34" s="215"/>
      <c r="I34" s="203"/>
      <c r="J34" s="217"/>
      <c r="K34" s="684">
        <f t="shared" si="5"/>
        <v>0</v>
      </c>
      <c r="L34" s="684">
        <f>L35</f>
        <v>0</v>
      </c>
      <c r="M34" s="684"/>
      <c r="N34" s="686"/>
      <c r="O34" s="684"/>
      <c r="P34" s="684"/>
      <c r="Q34" s="684"/>
      <c r="R34" s="624">
        <f t="shared" si="3"/>
        <v>0</v>
      </c>
    </row>
    <row r="35" spans="1:18" s="185" customFormat="1" ht="31.5" hidden="1" x14ac:dyDescent="0.2">
      <c r="A35" s="172"/>
      <c r="B35" s="216" t="s">
        <v>37</v>
      </c>
      <c r="C35" s="213" t="s">
        <v>38</v>
      </c>
      <c r="D35" s="650" t="s">
        <v>39</v>
      </c>
      <c r="E35" s="666" t="s">
        <v>40</v>
      </c>
      <c r="F35" s="214">
        <f t="shared" si="6"/>
        <v>0</v>
      </c>
      <c r="G35" s="215"/>
      <c r="H35" s="203"/>
      <c r="I35" s="203"/>
      <c r="J35" s="203"/>
      <c r="K35" s="204">
        <f t="shared" si="5"/>
        <v>0</v>
      </c>
      <c r="L35" s="209"/>
      <c r="M35" s="209"/>
      <c r="N35" s="209"/>
      <c r="O35" s="209"/>
      <c r="P35" s="209"/>
      <c r="Q35" s="209"/>
      <c r="R35" s="206">
        <f t="shared" si="3"/>
        <v>0</v>
      </c>
    </row>
    <row r="36" spans="1:18" s="185" customFormat="1" ht="15.75" hidden="1" x14ac:dyDescent="0.2">
      <c r="A36" s="172"/>
      <c r="B36" s="216"/>
      <c r="C36" s="213"/>
      <c r="D36" s="650"/>
      <c r="E36" s="667"/>
      <c r="F36" s="214">
        <f t="shared" si="6"/>
        <v>0</v>
      </c>
      <c r="G36" s="218"/>
      <c r="H36" s="217"/>
      <c r="I36" s="217"/>
      <c r="J36" s="217"/>
      <c r="K36" s="204">
        <f t="shared" si="5"/>
        <v>0</v>
      </c>
      <c r="L36" s="204"/>
      <c r="M36" s="204"/>
      <c r="N36" s="204"/>
      <c r="O36" s="204"/>
      <c r="P36" s="204"/>
      <c r="Q36" s="204"/>
      <c r="R36" s="206">
        <f t="shared" si="3"/>
        <v>0</v>
      </c>
    </row>
    <row r="37" spans="1:18" s="185" customFormat="1" ht="31.5" hidden="1" x14ac:dyDescent="0.2">
      <c r="A37" s="172"/>
      <c r="B37" s="216" t="s">
        <v>408</v>
      </c>
      <c r="C37" s="213" t="s">
        <v>409</v>
      </c>
      <c r="D37" s="650" t="s">
        <v>39</v>
      </c>
      <c r="E37" s="666" t="s">
        <v>410</v>
      </c>
      <c r="F37" s="214">
        <f t="shared" si="6"/>
        <v>0</v>
      </c>
      <c r="G37" s="215"/>
      <c r="H37" s="203"/>
      <c r="I37" s="203"/>
      <c r="J37" s="203"/>
      <c r="K37" s="204">
        <f t="shared" si="5"/>
        <v>0</v>
      </c>
      <c r="L37" s="209"/>
      <c r="M37" s="209"/>
      <c r="N37" s="209"/>
      <c r="O37" s="209"/>
      <c r="P37" s="209"/>
      <c r="Q37" s="209"/>
      <c r="R37" s="206">
        <f t="shared" si="3"/>
        <v>0</v>
      </c>
    </row>
    <row r="38" spans="1:18" s="185" customFormat="1" ht="15.75" hidden="1" x14ac:dyDescent="0.2">
      <c r="A38" s="172"/>
      <c r="B38" s="216" t="s">
        <v>41</v>
      </c>
      <c r="C38" s="213" t="s">
        <v>42</v>
      </c>
      <c r="D38" s="650" t="s">
        <v>39</v>
      </c>
      <c r="E38" s="666" t="s">
        <v>43</v>
      </c>
      <c r="F38" s="214">
        <f t="shared" si="6"/>
        <v>0</v>
      </c>
      <c r="G38" s="215"/>
      <c r="H38" s="203"/>
      <c r="I38" s="203"/>
      <c r="J38" s="203"/>
      <c r="K38" s="204"/>
      <c r="L38" s="209"/>
      <c r="M38" s="209"/>
      <c r="N38" s="209"/>
      <c r="O38" s="209"/>
      <c r="P38" s="209"/>
      <c r="Q38" s="209"/>
      <c r="R38" s="206">
        <f t="shared" si="3"/>
        <v>0</v>
      </c>
    </row>
    <row r="39" spans="1:18" s="185" customFormat="1" ht="63" hidden="1" x14ac:dyDescent="0.2">
      <c r="A39" s="172"/>
      <c r="B39" s="216" t="s">
        <v>46</v>
      </c>
      <c r="C39" s="213" t="s">
        <v>47</v>
      </c>
      <c r="D39" s="650" t="s">
        <v>39</v>
      </c>
      <c r="E39" s="666" t="s">
        <v>48</v>
      </c>
      <c r="F39" s="214">
        <f t="shared" si="6"/>
        <v>0</v>
      </c>
      <c r="G39" s="215"/>
      <c r="H39" s="203"/>
      <c r="I39" s="203"/>
      <c r="J39" s="203"/>
      <c r="K39" s="204">
        <f t="shared" si="5"/>
        <v>0</v>
      </c>
      <c r="L39" s="209"/>
      <c r="M39" s="209"/>
      <c r="N39" s="209"/>
      <c r="O39" s="209"/>
      <c r="P39" s="209"/>
      <c r="Q39" s="209"/>
      <c r="R39" s="206">
        <f t="shared" si="3"/>
        <v>0</v>
      </c>
    </row>
    <row r="40" spans="1:18" s="185" customFormat="1" ht="78.75" hidden="1" x14ac:dyDescent="0.2">
      <c r="A40" s="172"/>
      <c r="B40" s="216" t="s">
        <v>51</v>
      </c>
      <c r="C40" s="213">
        <v>3160</v>
      </c>
      <c r="D40" s="650" t="s">
        <v>53</v>
      </c>
      <c r="E40" s="664" t="s">
        <v>54</v>
      </c>
      <c r="F40" s="214">
        <f t="shared" si="6"/>
        <v>0</v>
      </c>
      <c r="G40" s="215"/>
      <c r="H40" s="203"/>
      <c r="I40" s="203"/>
      <c r="J40" s="203"/>
      <c r="K40" s="204">
        <f t="shared" si="5"/>
        <v>0</v>
      </c>
      <c r="L40" s="209"/>
      <c r="M40" s="209"/>
      <c r="N40" s="209"/>
      <c r="O40" s="209"/>
      <c r="P40" s="209"/>
      <c r="Q40" s="209"/>
      <c r="R40" s="206">
        <f t="shared" si="3"/>
        <v>0</v>
      </c>
    </row>
    <row r="41" spans="1:18" s="185" customFormat="1" ht="31.5" hidden="1" x14ac:dyDescent="0.2">
      <c r="A41" s="172"/>
      <c r="B41" s="219" t="s">
        <v>55</v>
      </c>
      <c r="C41" s="213" t="s">
        <v>56</v>
      </c>
      <c r="D41" s="650" t="s">
        <v>57</v>
      </c>
      <c r="E41" s="666" t="s">
        <v>58</v>
      </c>
      <c r="F41" s="214">
        <f t="shared" si="6"/>
        <v>0</v>
      </c>
      <c r="G41" s="220"/>
      <c r="H41" s="203"/>
      <c r="I41" s="203"/>
      <c r="J41" s="203"/>
      <c r="K41" s="204">
        <f t="shared" si="5"/>
        <v>0</v>
      </c>
      <c r="L41" s="209"/>
      <c r="M41" s="209"/>
      <c r="N41" s="209"/>
      <c r="O41" s="209"/>
      <c r="P41" s="209"/>
      <c r="Q41" s="209"/>
      <c r="R41" s="206">
        <f t="shared" si="3"/>
        <v>0</v>
      </c>
    </row>
    <row r="42" spans="1:18" s="185" customFormat="1" ht="47.25" hidden="1" x14ac:dyDescent="0.2">
      <c r="A42" s="198"/>
      <c r="B42" s="221" t="s">
        <v>411</v>
      </c>
      <c r="C42" s="208">
        <v>3192</v>
      </c>
      <c r="D42" s="648">
        <v>1030</v>
      </c>
      <c r="E42" s="464" t="s">
        <v>412</v>
      </c>
      <c r="F42" s="201">
        <f t="shared" si="6"/>
        <v>0</v>
      </c>
      <c r="G42" s="203"/>
      <c r="H42" s="203"/>
      <c r="I42" s="203"/>
      <c r="J42" s="203"/>
      <c r="K42" s="204"/>
      <c r="L42" s="209"/>
      <c r="M42" s="209"/>
      <c r="N42" s="209"/>
      <c r="O42" s="209"/>
      <c r="P42" s="209"/>
      <c r="Q42" s="209"/>
      <c r="R42" s="206">
        <f t="shared" si="3"/>
        <v>0</v>
      </c>
    </row>
    <row r="43" spans="1:18" s="185" customFormat="1" ht="15.75" hidden="1" x14ac:dyDescent="0.2">
      <c r="A43" s="198"/>
      <c r="B43" s="221" t="s">
        <v>59</v>
      </c>
      <c r="C43" s="208" t="s">
        <v>60</v>
      </c>
      <c r="D43" s="648" t="s">
        <v>61</v>
      </c>
      <c r="E43" s="464" t="s">
        <v>62</v>
      </c>
      <c r="F43" s="201">
        <f t="shared" si="6"/>
        <v>0</v>
      </c>
      <c r="G43" s="203"/>
      <c r="H43" s="203"/>
      <c r="I43" s="203"/>
      <c r="J43" s="203"/>
      <c r="K43" s="204">
        <f t="shared" si="5"/>
        <v>0</v>
      </c>
      <c r="L43" s="209"/>
      <c r="M43" s="209"/>
      <c r="N43" s="209"/>
      <c r="O43" s="209"/>
      <c r="P43" s="209"/>
      <c r="Q43" s="209"/>
      <c r="R43" s="206">
        <f t="shared" si="3"/>
        <v>0</v>
      </c>
    </row>
    <row r="44" spans="1:18" s="185" customFormat="1" ht="39.75" hidden="1" customHeight="1" x14ac:dyDescent="0.2">
      <c r="A44" s="198"/>
      <c r="B44" s="221" t="s">
        <v>413</v>
      </c>
      <c r="C44" s="208" t="s">
        <v>414</v>
      </c>
      <c r="D44" s="648" t="s">
        <v>65</v>
      </c>
      <c r="E44" s="464" t="s">
        <v>415</v>
      </c>
      <c r="F44" s="201">
        <f t="shared" si="6"/>
        <v>0</v>
      </c>
      <c r="G44" s="222"/>
      <c r="H44" s="222"/>
      <c r="I44" s="222"/>
      <c r="J44" s="203"/>
      <c r="K44" s="204">
        <f t="shared" si="5"/>
        <v>0</v>
      </c>
      <c r="L44" s="209"/>
      <c r="M44" s="209"/>
      <c r="N44" s="209"/>
      <c r="O44" s="209"/>
      <c r="P44" s="209"/>
      <c r="Q44" s="209"/>
      <c r="R44" s="206">
        <f t="shared" si="3"/>
        <v>0</v>
      </c>
    </row>
    <row r="45" spans="1:18" s="185" customFormat="1" ht="31.5" hidden="1" x14ac:dyDescent="0.2">
      <c r="A45" s="198"/>
      <c r="B45" s="221" t="s">
        <v>63</v>
      </c>
      <c r="C45" s="208" t="s">
        <v>64</v>
      </c>
      <c r="D45" s="648" t="s">
        <v>65</v>
      </c>
      <c r="E45" s="464" t="s">
        <v>66</v>
      </c>
      <c r="F45" s="201">
        <f t="shared" si="6"/>
        <v>0</v>
      </c>
      <c r="G45" s="203"/>
      <c r="H45" s="203"/>
      <c r="I45" s="203"/>
      <c r="J45" s="203"/>
      <c r="K45" s="204">
        <f t="shared" si="5"/>
        <v>0</v>
      </c>
      <c r="L45" s="209"/>
      <c r="M45" s="209"/>
      <c r="N45" s="209"/>
      <c r="O45" s="209"/>
      <c r="P45" s="209"/>
      <c r="Q45" s="209"/>
      <c r="R45" s="206">
        <f t="shared" si="3"/>
        <v>0</v>
      </c>
    </row>
    <row r="46" spans="1:18" s="185" customFormat="1" ht="15.75" hidden="1" x14ac:dyDescent="0.2">
      <c r="A46" s="198"/>
      <c r="B46" s="223"/>
      <c r="C46" s="200"/>
      <c r="D46" s="647"/>
      <c r="E46" s="668"/>
      <c r="F46" s="201">
        <f t="shared" si="6"/>
        <v>0</v>
      </c>
      <c r="G46" s="201"/>
      <c r="H46" s="203"/>
      <c r="I46" s="203"/>
      <c r="J46" s="203"/>
      <c r="K46" s="204">
        <f t="shared" si="5"/>
        <v>0</v>
      </c>
      <c r="L46" s="209"/>
      <c r="M46" s="209"/>
      <c r="N46" s="209"/>
      <c r="O46" s="209"/>
      <c r="P46" s="209"/>
      <c r="Q46" s="209"/>
      <c r="R46" s="206">
        <f t="shared" si="3"/>
        <v>0</v>
      </c>
    </row>
    <row r="47" spans="1:18" s="185" customFormat="1" ht="31.5" hidden="1" x14ac:dyDescent="0.2">
      <c r="A47" s="198"/>
      <c r="B47" s="221" t="s">
        <v>69</v>
      </c>
      <c r="C47" s="208" t="s">
        <v>70</v>
      </c>
      <c r="D47" s="648" t="s">
        <v>71</v>
      </c>
      <c r="E47" s="464" t="s">
        <v>72</v>
      </c>
      <c r="F47" s="201">
        <f t="shared" si="6"/>
        <v>0</v>
      </c>
      <c r="G47" s="203"/>
      <c r="H47" s="203"/>
      <c r="I47" s="203"/>
      <c r="J47" s="203"/>
      <c r="K47" s="204">
        <f t="shared" si="5"/>
        <v>0</v>
      </c>
      <c r="L47" s="209"/>
      <c r="M47" s="209"/>
      <c r="N47" s="209"/>
      <c r="O47" s="209"/>
      <c r="P47" s="209"/>
      <c r="Q47" s="209"/>
      <c r="R47" s="206">
        <f t="shared" si="3"/>
        <v>0</v>
      </c>
    </row>
    <row r="48" spans="1:18" s="185" customFormat="1" ht="15.75" hidden="1" x14ac:dyDescent="0.2">
      <c r="A48" s="198"/>
      <c r="B48" s="223"/>
      <c r="C48" s="200"/>
      <c r="D48" s="647"/>
      <c r="E48" s="668"/>
      <c r="F48" s="201"/>
      <c r="G48" s="201"/>
      <c r="H48" s="201"/>
      <c r="I48" s="201"/>
      <c r="J48" s="201"/>
      <c r="K48" s="204">
        <f t="shared" si="5"/>
        <v>0</v>
      </c>
      <c r="L48" s="204"/>
      <c r="M48" s="204"/>
      <c r="N48" s="204"/>
      <c r="O48" s="204"/>
      <c r="P48" s="204"/>
      <c r="Q48" s="204"/>
      <c r="R48" s="206">
        <f t="shared" si="3"/>
        <v>0</v>
      </c>
    </row>
    <row r="49" spans="1:18" s="185" customFormat="1" ht="39.75" hidden="1" customHeight="1" x14ac:dyDescent="0.2">
      <c r="A49" s="198"/>
      <c r="B49" s="221"/>
      <c r="C49" s="208"/>
      <c r="D49" s="648"/>
      <c r="E49" s="464" t="s">
        <v>390</v>
      </c>
      <c r="F49" s="201"/>
      <c r="G49" s="203"/>
      <c r="H49" s="203"/>
      <c r="I49" s="203"/>
      <c r="J49" s="203"/>
      <c r="K49" s="204">
        <f t="shared" si="5"/>
        <v>0</v>
      </c>
      <c r="L49" s="209"/>
      <c r="M49" s="209"/>
      <c r="N49" s="209"/>
      <c r="O49" s="209"/>
      <c r="P49" s="209"/>
      <c r="Q49" s="209"/>
      <c r="R49" s="206">
        <f t="shared" si="3"/>
        <v>0</v>
      </c>
    </row>
    <row r="50" spans="1:18" s="185" customFormat="1" ht="31.5" hidden="1" x14ac:dyDescent="0.2">
      <c r="A50" s="198"/>
      <c r="B50" s="221" t="s">
        <v>75</v>
      </c>
      <c r="C50" s="208" t="s">
        <v>76</v>
      </c>
      <c r="D50" s="648" t="s">
        <v>71</v>
      </c>
      <c r="E50" s="464" t="s">
        <v>77</v>
      </c>
      <c r="F50" s="201">
        <f t="shared" si="6"/>
        <v>0</v>
      </c>
      <c r="G50" s="203"/>
      <c r="H50" s="203"/>
      <c r="I50" s="203"/>
      <c r="J50" s="203"/>
      <c r="K50" s="204">
        <f t="shared" si="5"/>
        <v>0</v>
      </c>
      <c r="L50" s="209"/>
      <c r="M50" s="209"/>
      <c r="N50" s="209"/>
      <c r="O50" s="209"/>
      <c r="P50" s="209"/>
      <c r="Q50" s="209"/>
      <c r="R50" s="206">
        <f t="shared" si="3"/>
        <v>0</v>
      </c>
    </row>
    <row r="51" spans="1:18" s="185" customFormat="1" ht="30" hidden="1" customHeight="1" x14ac:dyDescent="0.2">
      <c r="A51" s="198"/>
      <c r="B51" s="224"/>
      <c r="C51" s="208"/>
      <c r="D51" s="651"/>
      <c r="E51" s="464" t="s">
        <v>416</v>
      </c>
      <c r="F51" s="201">
        <f t="shared" si="6"/>
        <v>0</v>
      </c>
      <c r="G51" s="203"/>
      <c r="H51" s="203"/>
      <c r="I51" s="203"/>
      <c r="J51" s="203"/>
      <c r="K51" s="204">
        <f t="shared" si="5"/>
        <v>0</v>
      </c>
      <c r="L51" s="209"/>
      <c r="M51" s="209"/>
      <c r="N51" s="209"/>
      <c r="O51" s="209"/>
      <c r="P51" s="209"/>
      <c r="Q51" s="209"/>
      <c r="R51" s="206">
        <f t="shared" si="3"/>
        <v>0</v>
      </c>
    </row>
    <row r="52" spans="1:18" s="185" customFormat="1" ht="53.25" hidden="1" customHeight="1" x14ac:dyDescent="0.2">
      <c r="A52" s="198"/>
      <c r="B52" s="224"/>
      <c r="C52" s="225"/>
      <c r="D52" s="651"/>
      <c r="E52" s="669"/>
      <c r="F52" s="201"/>
      <c r="G52" s="203"/>
      <c r="H52" s="203"/>
      <c r="I52" s="203"/>
      <c r="J52" s="203"/>
      <c r="K52" s="204">
        <f t="shared" si="5"/>
        <v>0</v>
      </c>
      <c r="L52" s="209"/>
      <c r="M52" s="209"/>
      <c r="N52" s="209"/>
      <c r="O52" s="209"/>
      <c r="P52" s="209"/>
      <c r="Q52" s="209"/>
      <c r="R52" s="206">
        <f t="shared" si="3"/>
        <v>0</v>
      </c>
    </row>
    <row r="53" spans="1:18" s="185" customFormat="1" ht="31.5" hidden="1" x14ac:dyDescent="0.2">
      <c r="A53" s="198"/>
      <c r="B53" s="223"/>
      <c r="C53" s="226"/>
      <c r="D53" s="652"/>
      <c r="E53" s="464" t="s">
        <v>390</v>
      </c>
      <c r="F53" s="201">
        <f t="shared" si="6"/>
        <v>0</v>
      </c>
      <c r="G53" s="207"/>
      <c r="H53" s="203"/>
      <c r="I53" s="203"/>
      <c r="J53" s="201"/>
      <c r="K53" s="204">
        <f t="shared" si="5"/>
        <v>0</v>
      </c>
      <c r="L53" s="204"/>
      <c r="M53" s="204"/>
      <c r="N53" s="204"/>
      <c r="O53" s="204"/>
      <c r="P53" s="204"/>
      <c r="Q53" s="209"/>
      <c r="R53" s="206">
        <f t="shared" si="3"/>
        <v>0</v>
      </c>
    </row>
    <row r="54" spans="1:18" s="185" customFormat="1" ht="39" customHeight="1" x14ac:dyDescent="0.2">
      <c r="A54" s="198"/>
      <c r="B54" s="221" t="s">
        <v>78</v>
      </c>
      <c r="C54" s="208" t="s">
        <v>79</v>
      </c>
      <c r="D54" s="648" t="s">
        <v>80</v>
      </c>
      <c r="E54" s="464" t="s">
        <v>81</v>
      </c>
      <c r="F54" s="201">
        <f t="shared" si="6"/>
        <v>87750</v>
      </c>
      <c r="G54" s="203">
        <f>60000+27750</f>
        <v>87750</v>
      </c>
      <c r="H54" s="203"/>
      <c r="I54" s="203"/>
      <c r="J54" s="203"/>
      <c r="K54" s="217">
        <f t="shared" si="5"/>
        <v>0</v>
      </c>
      <c r="L54" s="207"/>
      <c r="M54" s="207"/>
      <c r="N54" s="207"/>
      <c r="O54" s="207"/>
      <c r="P54" s="207"/>
      <c r="Q54" s="207"/>
      <c r="R54" s="206">
        <f t="shared" si="3"/>
        <v>87750</v>
      </c>
    </row>
    <row r="55" spans="1:18" s="185" customFormat="1" ht="15.75" hidden="1" x14ac:dyDescent="0.2">
      <c r="A55" s="198"/>
      <c r="B55" s="221" t="s">
        <v>84</v>
      </c>
      <c r="C55" s="208" t="s">
        <v>85</v>
      </c>
      <c r="D55" s="648" t="s">
        <v>80</v>
      </c>
      <c r="E55" s="464" t="s">
        <v>86</v>
      </c>
      <c r="F55" s="201">
        <f t="shared" si="6"/>
        <v>0</v>
      </c>
      <c r="G55" s="203"/>
      <c r="H55" s="203"/>
      <c r="I55" s="203"/>
      <c r="J55" s="203"/>
      <c r="K55" s="204">
        <f t="shared" si="5"/>
        <v>0</v>
      </c>
      <c r="L55" s="209"/>
      <c r="M55" s="209"/>
      <c r="N55" s="209"/>
      <c r="O55" s="209"/>
      <c r="P55" s="209"/>
      <c r="Q55" s="209"/>
      <c r="R55" s="206">
        <f t="shared" si="3"/>
        <v>0</v>
      </c>
    </row>
    <row r="56" spans="1:18" s="185" customFormat="1" ht="60" customHeight="1" x14ac:dyDescent="0.2">
      <c r="A56" s="198"/>
      <c r="B56" s="221" t="s">
        <v>592</v>
      </c>
      <c r="C56" s="208" t="s">
        <v>664</v>
      </c>
      <c r="D56" s="648" t="s">
        <v>80</v>
      </c>
      <c r="E56" s="464" t="s">
        <v>663</v>
      </c>
      <c r="F56" s="201">
        <f t="shared" si="6"/>
        <v>181000</v>
      </c>
      <c r="G56" s="203">
        <v>181000</v>
      </c>
      <c r="H56" s="203"/>
      <c r="I56" s="203"/>
      <c r="J56" s="203"/>
      <c r="K56" s="217">
        <f t="shared" si="5"/>
        <v>0</v>
      </c>
      <c r="L56" s="207"/>
      <c r="M56" s="209"/>
      <c r="N56" s="209"/>
      <c r="O56" s="209"/>
      <c r="P56" s="209"/>
      <c r="Q56" s="209"/>
      <c r="R56" s="206">
        <f t="shared" si="3"/>
        <v>181000</v>
      </c>
    </row>
    <row r="57" spans="1:18" s="185" customFormat="1" ht="27.75" customHeight="1" x14ac:dyDescent="0.2">
      <c r="A57" s="198"/>
      <c r="B57" s="221" t="s">
        <v>87</v>
      </c>
      <c r="C57" s="208" t="s">
        <v>88</v>
      </c>
      <c r="D57" s="648" t="s">
        <v>80</v>
      </c>
      <c r="E57" s="464" t="s">
        <v>89</v>
      </c>
      <c r="F57" s="201">
        <f t="shared" si="6"/>
        <v>267165</v>
      </c>
      <c r="G57" s="203">
        <f>53265+18900+195000</f>
        <v>267165</v>
      </c>
      <c r="H57" s="203"/>
      <c r="I57" s="203"/>
      <c r="J57" s="203"/>
      <c r="K57" s="217">
        <f t="shared" si="5"/>
        <v>0</v>
      </c>
      <c r="L57" s="207"/>
      <c r="M57" s="207"/>
      <c r="N57" s="207"/>
      <c r="O57" s="207"/>
      <c r="P57" s="207"/>
      <c r="Q57" s="207"/>
      <c r="R57" s="206">
        <f t="shared" si="3"/>
        <v>267165</v>
      </c>
    </row>
    <row r="58" spans="1:18" s="185" customFormat="1" ht="15.75" hidden="1" x14ac:dyDescent="0.2">
      <c r="A58" s="198"/>
      <c r="B58" s="221"/>
      <c r="C58" s="208"/>
      <c r="D58" s="651"/>
      <c r="E58" s="464"/>
      <c r="F58" s="201"/>
      <c r="G58" s="201"/>
      <c r="H58" s="203"/>
      <c r="I58" s="203"/>
      <c r="J58" s="203"/>
      <c r="K58" s="204">
        <f t="shared" si="5"/>
        <v>0</v>
      </c>
      <c r="L58" s="209"/>
      <c r="M58" s="209"/>
      <c r="N58" s="209"/>
      <c r="O58" s="209"/>
      <c r="P58" s="209"/>
      <c r="Q58" s="209"/>
      <c r="R58" s="206">
        <f t="shared" si="3"/>
        <v>0</v>
      </c>
    </row>
    <row r="59" spans="1:18" s="185" customFormat="1" ht="107.25" customHeight="1" x14ac:dyDescent="0.2">
      <c r="A59" s="198"/>
      <c r="B59" s="221" t="s">
        <v>417</v>
      </c>
      <c r="C59" s="208" t="s">
        <v>418</v>
      </c>
      <c r="D59" s="648" t="s">
        <v>98</v>
      </c>
      <c r="E59" s="464" t="s">
        <v>419</v>
      </c>
      <c r="F59" s="201">
        <f t="shared" si="6"/>
        <v>0</v>
      </c>
      <c r="G59" s="203"/>
      <c r="H59" s="203"/>
      <c r="I59" s="203"/>
      <c r="J59" s="203"/>
      <c r="K59" s="204">
        <f t="shared" si="5"/>
        <v>0</v>
      </c>
      <c r="L59" s="209"/>
      <c r="M59" s="209"/>
      <c r="N59" s="209"/>
      <c r="O59" s="209"/>
      <c r="P59" s="209"/>
      <c r="Q59" s="209"/>
      <c r="R59" s="206">
        <f t="shared" si="3"/>
        <v>0</v>
      </c>
    </row>
    <row r="60" spans="1:18" s="185" customFormat="1" ht="51" customHeight="1" x14ac:dyDescent="0.2">
      <c r="A60" s="198"/>
      <c r="B60" s="221" t="s">
        <v>96</v>
      </c>
      <c r="C60" s="208" t="s">
        <v>97</v>
      </c>
      <c r="D60" s="648" t="s">
        <v>98</v>
      </c>
      <c r="E60" s="464" t="s">
        <v>99</v>
      </c>
      <c r="F60" s="201">
        <f t="shared" si="6"/>
        <v>-18900</v>
      </c>
      <c r="G60" s="203">
        <v>-18900</v>
      </c>
      <c r="H60" s="203"/>
      <c r="I60" s="203"/>
      <c r="J60" s="203"/>
      <c r="K60" s="204">
        <f t="shared" si="5"/>
        <v>0</v>
      </c>
      <c r="L60" s="209"/>
      <c r="M60" s="209"/>
      <c r="N60" s="209"/>
      <c r="O60" s="209"/>
      <c r="P60" s="209"/>
      <c r="Q60" s="209"/>
      <c r="R60" s="206">
        <f t="shared" si="3"/>
        <v>-18900</v>
      </c>
    </row>
    <row r="61" spans="1:18" s="185" customFormat="1" ht="15.75" hidden="1" x14ac:dyDescent="0.2">
      <c r="A61" s="198"/>
      <c r="B61" s="221" t="s">
        <v>100</v>
      </c>
      <c r="C61" s="208" t="s">
        <v>101</v>
      </c>
      <c r="D61" s="648" t="s">
        <v>102</v>
      </c>
      <c r="E61" s="464" t="s">
        <v>103</v>
      </c>
      <c r="F61" s="201">
        <f t="shared" si="6"/>
        <v>0</v>
      </c>
      <c r="G61" s="203"/>
      <c r="H61" s="203"/>
      <c r="I61" s="203"/>
      <c r="J61" s="203"/>
      <c r="K61" s="217">
        <f t="shared" si="5"/>
        <v>0</v>
      </c>
      <c r="L61" s="207"/>
      <c r="M61" s="207"/>
      <c r="N61" s="207"/>
      <c r="O61" s="207"/>
      <c r="P61" s="207"/>
      <c r="Q61" s="207"/>
      <c r="R61" s="206">
        <f t="shared" si="3"/>
        <v>0</v>
      </c>
    </row>
    <row r="62" spans="1:18" s="185" customFormat="1" ht="15.75" hidden="1" x14ac:dyDescent="0.2">
      <c r="A62" s="198"/>
      <c r="B62" s="221" t="s">
        <v>420</v>
      </c>
      <c r="C62" s="208" t="s">
        <v>421</v>
      </c>
      <c r="D62" s="648" t="s">
        <v>172</v>
      </c>
      <c r="E62" s="464" t="s">
        <v>422</v>
      </c>
      <c r="F62" s="201">
        <f t="shared" si="6"/>
        <v>0</v>
      </c>
      <c r="G62" s="203"/>
      <c r="H62" s="203"/>
      <c r="I62" s="203"/>
      <c r="J62" s="203"/>
      <c r="K62" s="217">
        <f>N62+L62</f>
        <v>0</v>
      </c>
      <c r="L62" s="207"/>
      <c r="M62" s="207"/>
      <c r="N62" s="207"/>
      <c r="O62" s="207"/>
      <c r="P62" s="207"/>
      <c r="Q62" s="207"/>
      <c r="R62" s="206">
        <f t="shared" si="3"/>
        <v>0</v>
      </c>
    </row>
    <row r="63" spans="1:18" s="185" customFormat="1" ht="46.5" customHeight="1" x14ac:dyDescent="0.2">
      <c r="A63" s="198"/>
      <c r="B63" s="221" t="s">
        <v>423</v>
      </c>
      <c r="C63" s="208" t="s">
        <v>424</v>
      </c>
      <c r="D63" s="648" t="s">
        <v>172</v>
      </c>
      <c r="E63" s="464" t="s">
        <v>425</v>
      </c>
      <c r="F63" s="201">
        <f>G63+J63</f>
        <v>0</v>
      </c>
      <c r="G63" s="203"/>
      <c r="H63" s="203"/>
      <c r="I63" s="203"/>
      <c r="J63" s="203"/>
      <c r="K63" s="217">
        <f>N63+L63</f>
        <v>0</v>
      </c>
      <c r="L63" s="207"/>
      <c r="M63" s="209"/>
      <c r="N63" s="209"/>
      <c r="O63" s="209"/>
      <c r="P63" s="209"/>
      <c r="Q63" s="207"/>
      <c r="R63" s="206">
        <f t="shared" si="3"/>
        <v>0</v>
      </c>
    </row>
    <row r="64" spans="1:18" s="185" customFormat="1" ht="61.5" customHeight="1" x14ac:dyDescent="0.2">
      <c r="A64" s="198"/>
      <c r="B64" s="221" t="s">
        <v>550</v>
      </c>
      <c r="C64" s="208" t="s">
        <v>551</v>
      </c>
      <c r="D64" s="648" t="s">
        <v>116</v>
      </c>
      <c r="E64" s="464" t="s">
        <v>563</v>
      </c>
      <c r="F64" s="201">
        <f>G64+J64</f>
        <v>0</v>
      </c>
      <c r="G64" s="203"/>
      <c r="H64" s="203"/>
      <c r="I64" s="203"/>
      <c r="J64" s="203"/>
      <c r="K64" s="217">
        <f>N64+L64</f>
        <v>0</v>
      </c>
      <c r="L64" s="207"/>
      <c r="M64" s="209"/>
      <c r="N64" s="209"/>
      <c r="O64" s="209"/>
      <c r="P64" s="209"/>
      <c r="Q64" s="207"/>
      <c r="R64" s="206">
        <f t="shared" si="3"/>
        <v>0</v>
      </c>
    </row>
    <row r="65" spans="1:18" s="185" customFormat="1" ht="55.5" customHeight="1" x14ac:dyDescent="0.2">
      <c r="A65" s="198"/>
      <c r="B65" s="221" t="s">
        <v>104</v>
      </c>
      <c r="C65" s="208" t="s">
        <v>105</v>
      </c>
      <c r="D65" s="648" t="s">
        <v>106</v>
      </c>
      <c r="E65" s="464" t="s">
        <v>107</v>
      </c>
      <c r="F65" s="201">
        <f t="shared" si="6"/>
        <v>-322015</v>
      </c>
      <c r="G65" s="203">
        <v>-322015</v>
      </c>
      <c r="H65" s="203"/>
      <c r="I65" s="203"/>
      <c r="J65" s="203"/>
      <c r="K65" s="217">
        <f t="shared" si="5"/>
        <v>0</v>
      </c>
      <c r="L65" s="207"/>
      <c r="M65" s="207"/>
      <c r="N65" s="207"/>
      <c r="O65" s="207"/>
      <c r="P65" s="207"/>
      <c r="Q65" s="207"/>
      <c r="R65" s="206">
        <f t="shared" si="3"/>
        <v>-322015</v>
      </c>
    </row>
    <row r="66" spans="1:18" s="185" customFormat="1" ht="47.25" hidden="1" x14ac:dyDescent="0.2">
      <c r="A66" s="198"/>
      <c r="B66" s="221" t="s">
        <v>870</v>
      </c>
      <c r="C66" s="208" t="s">
        <v>871</v>
      </c>
      <c r="D66" s="648" t="s">
        <v>872</v>
      </c>
      <c r="E66" s="464" t="s">
        <v>873</v>
      </c>
      <c r="F66" s="201">
        <f t="shared" si="6"/>
        <v>0</v>
      </c>
      <c r="G66" s="203"/>
      <c r="H66" s="203"/>
      <c r="I66" s="203"/>
      <c r="J66" s="203"/>
      <c r="K66" s="204"/>
      <c r="L66" s="209"/>
      <c r="M66" s="209"/>
      <c r="N66" s="209"/>
      <c r="O66" s="209"/>
      <c r="P66" s="209"/>
      <c r="Q66" s="209"/>
      <c r="R66" s="206">
        <f t="shared" si="3"/>
        <v>0</v>
      </c>
    </row>
    <row r="67" spans="1:18" s="185" customFormat="1" ht="31.5" hidden="1" x14ac:dyDescent="0.2">
      <c r="A67" s="198"/>
      <c r="B67" s="221" t="s">
        <v>108</v>
      </c>
      <c r="C67" s="208" t="s">
        <v>109</v>
      </c>
      <c r="D67" s="648" t="s">
        <v>110</v>
      </c>
      <c r="E67" s="464" t="s">
        <v>111</v>
      </c>
      <c r="F67" s="201">
        <f t="shared" si="6"/>
        <v>0</v>
      </c>
      <c r="G67" s="203"/>
      <c r="H67" s="203"/>
      <c r="I67" s="203"/>
      <c r="J67" s="207"/>
      <c r="K67" s="204">
        <f t="shared" si="5"/>
        <v>0</v>
      </c>
      <c r="L67" s="209"/>
      <c r="M67" s="209"/>
      <c r="N67" s="209"/>
      <c r="O67" s="209"/>
      <c r="P67" s="209">
        <f>O67</f>
        <v>0</v>
      </c>
      <c r="Q67" s="209"/>
      <c r="R67" s="206">
        <f t="shared" si="3"/>
        <v>0</v>
      </c>
    </row>
    <row r="68" spans="1:18" s="185" customFormat="1" ht="31.5" hidden="1" x14ac:dyDescent="0.2">
      <c r="A68" s="198"/>
      <c r="B68" s="221" t="s">
        <v>114</v>
      </c>
      <c r="C68" s="208" t="s">
        <v>115</v>
      </c>
      <c r="D68" s="648" t="s">
        <v>116</v>
      </c>
      <c r="E68" s="464" t="s">
        <v>117</v>
      </c>
      <c r="F68" s="201">
        <f t="shared" si="6"/>
        <v>0</v>
      </c>
      <c r="G68" s="203"/>
      <c r="H68" s="203"/>
      <c r="I68" s="203"/>
      <c r="J68" s="207"/>
      <c r="K68" s="217">
        <f t="shared" si="5"/>
        <v>0</v>
      </c>
      <c r="L68" s="207"/>
      <c r="M68" s="209"/>
      <c r="N68" s="209"/>
      <c r="O68" s="209"/>
      <c r="P68" s="209"/>
      <c r="Q68" s="207"/>
      <c r="R68" s="206">
        <f t="shared" si="3"/>
        <v>0</v>
      </c>
    </row>
    <row r="69" spans="1:18" s="185" customFormat="1" ht="65.25" hidden="1" customHeight="1" x14ac:dyDescent="0.2">
      <c r="A69" s="198"/>
      <c r="B69" s="221" t="s">
        <v>118</v>
      </c>
      <c r="C69" s="208" t="s">
        <v>119</v>
      </c>
      <c r="D69" s="648" t="s">
        <v>116</v>
      </c>
      <c r="E69" s="464" t="s">
        <v>120</v>
      </c>
      <c r="F69" s="201">
        <f t="shared" si="6"/>
        <v>0</v>
      </c>
      <c r="G69" s="203"/>
      <c r="H69" s="203"/>
      <c r="I69" s="203"/>
      <c r="J69" s="207"/>
      <c r="K69" s="217">
        <f t="shared" si="5"/>
        <v>0</v>
      </c>
      <c r="L69" s="207"/>
      <c r="M69" s="209"/>
      <c r="N69" s="209"/>
      <c r="O69" s="209"/>
      <c r="P69" s="209"/>
      <c r="Q69" s="207"/>
      <c r="R69" s="206">
        <f t="shared" si="3"/>
        <v>0</v>
      </c>
    </row>
    <row r="70" spans="1:18" s="185" customFormat="1" ht="31.5" hidden="1" x14ac:dyDescent="0.2">
      <c r="A70" s="198"/>
      <c r="B70" s="221" t="s">
        <v>121</v>
      </c>
      <c r="C70" s="208" t="s">
        <v>122</v>
      </c>
      <c r="D70" s="648" t="s">
        <v>116</v>
      </c>
      <c r="E70" s="464" t="s">
        <v>123</v>
      </c>
      <c r="F70" s="201">
        <f t="shared" si="6"/>
        <v>0</v>
      </c>
      <c r="G70" s="203"/>
      <c r="H70" s="203"/>
      <c r="I70" s="203"/>
      <c r="J70" s="207"/>
      <c r="K70" s="204">
        <f t="shared" si="5"/>
        <v>0</v>
      </c>
      <c r="L70" s="209"/>
      <c r="M70" s="209"/>
      <c r="N70" s="209"/>
      <c r="O70" s="209"/>
      <c r="P70" s="209"/>
      <c r="Q70" s="209"/>
      <c r="R70" s="206">
        <f t="shared" si="3"/>
        <v>0</v>
      </c>
    </row>
    <row r="71" spans="1:18" s="185" customFormat="1" ht="15.75" hidden="1" x14ac:dyDescent="0.2">
      <c r="A71" s="198"/>
      <c r="B71" s="221" t="s">
        <v>820</v>
      </c>
      <c r="C71" s="208" t="s">
        <v>828</v>
      </c>
      <c r="D71" s="648" t="s">
        <v>116</v>
      </c>
      <c r="E71" s="464" t="s">
        <v>829</v>
      </c>
      <c r="F71" s="201">
        <f t="shared" si="6"/>
        <v>0</v>
      </c>
      <c r="G71" s="203"/>
      <c r="H71" s="203"/>
      <c r="I71" s="203"/>
      <c r="J71" s="207"/>
      <c r="K71" s="204"/>
      <c r="L71" s="209"/>
      <c r="M71" s="209"/>
      <c r="N71" s="209"/>
      <c r="O71" s="209"/>
      <c r="P71" s="209"/>
      <c r="Q71" s="209"/>
      <c r="R71" s="206">
        <f t="shared" si="3"/>
        <v>0</v>
      </c>
    </row>
    <row r="72" spans="1:18" s="185" customFormat="1" ht="31.5" hidden="1" x14ac:dyDescent="0.2">
      <c r="A72" s="198"/>
      <c r="B72" s="221"/>
      <c r="C72" s="208"/>
      <c r="D72" s="648"/>
      <c r="E72" s="464" t="s">
        <v>894</v>
      </c>
      <c r="F72" s="201">
        <f t="shared" si="6"/>
        <v>0</v>
      </c>
      <c r="G72" s="203"/>
      <c r="H72" s="203"/>
      <c r="I72" s="203"/>
      <c r="J72" s="207"/>
      <c r="K72" s="204"/>
      <c r="L72" s="209"/>
      <c r="M72" s="209"/>
      <c r="N72" s="209"/>
      <c r="O72" s="209"/>
      <c r="P72" s="209"/>
      <c r="Q72" s="209"/>
      <c r="R72" s="206">
        <f t="shared" si="3"/>
        <v>0</v>
      </c>
    </row>
    <row r="73" spans="1:18" s="185" customFormat="1" ht="42" hidden="1" customHeight="1" x14ac:dyDescent="0.2">
      <c r="A73" s="198"/>
      <c r="B73" s="221" t="s">
        <v>124</v>
      </c>
      <c r="C73" s="208" t="s">
        <v>125</v>
      </c>
      <c r="D73" s="648" t="s">
        <v>126</v>
      </c>
      <c r="E73" s="464" t="s">
        <v>127</v>
      </c>
      <c r="F73" s="201">
        <f t="shared" si="6"/>
        <v>0</v>
      </c>
      <c r="G73" s="203"/>
      <c r="H73" s="203"/>
      <c r="I73" s="203"/>
      <c r="J73" s="207"/>
      <c r="K73" s="204"/>
      <c r="L73" s="209"/>
      <c r="M73" s="209"/>
      <c r="N73" s="209"/>
      <c r="O73" s="209"/>
      <c r="P73" s="209"/>
      <c r="Q73" s="209"/>
      <c r="R73" s="206">
        <f t="shared" si="3"/>
        <v>0</v>
      </c>
    </row>
    <row r="74" spans="1:18" s="185" customFormat="1" ht="15.75" hidden="1" x14ac:dyDescent="0.2">
      <c r="A74" s="198"/>
      <c r="B74" s="221" t="s">
        <v>128</v>
      </c>
      <c r="C74" s="208" t="s">
        <v>129</v>
      </c>
      <c r="D74" s="648" t="s">
        <v>126</v>
      </c>
      <c r="E74" s="464" t="s">
        <v>130</v>
      </c>
      <c r="F74" s="201">
        <f t="shared" si="6"/>
        <v>0</v>
      </c>
      <c r="G74" s="203"/>
      <c r="H74" s="203"/>
      <c r="I74" s="203"/>
      <c r="J74" s="207"/>
      <c r="K74" s="204">
        <f t="shared" si="5"/>
        <v>0</v>
      </c>
      <c r="L74" s="209"/>
      <c r="M74" s="209"/>
      <c r="N74" s="209"/>
      <c r="O74" s="209"/>
      <c r="P74" s="209"/>
      <c r="Q74" s="209"/>
      <c r="R74" s="206">
        <f t="shared" si="3"/>
        <v>0</v>
      </c>
    </row>
    <row r="75" spans="1:18" s="185" customFormat="1" ht="15.75" hidden="1" x14ac:dyDescent="0.2">
      <c r="A75" s="198"/>
      <c r="B75" s="221" t="s">
        <v>426</v>
      </c>
      <c r="C75" s="208" t="s">
        <v>427</v>
      </c>
      <c r="D75" s="648" t="s">
        <v>428</v>
      </c>
      <c r="E75" s="670" t="s">
        <v>429</v>
      </c>
      <c r="F75" s="201">
        <f t="shared" si="6"/>
        <v>0</v>
      </c>
      <c r="G75" s="203"/>
      <c r="H75" s="203"/>
      <c r="I75" s="203"/>
      <c r="J75" s="207"/>
      <c r="K75" s="204">
        <f t="shared" si="5"/>
        <v>0</v>
      </c>
      <c r="L75" s="209"/>
      <c r="M75" s="209"/>
      <c r="N75" s="209"/>
      <c r="O75" s="209"/>
      <c r="P75" s="209"/>
      <c r="Q75" s="209"/>
      <c r="R75" s="206">
        <f t="shared" si="3"/>
        <v>0</v>
      </c>
    </row>
    <row r="76" spans="1:18" s="185" customFormat="1" ht="15.75" hidden="1" x14ac:dyDescent="0.2">
      <c r="A76" s="198"/>
      <c r="B76" s="221"/>
      <c r="C76" s="208"/>
      <c r="D76" s="651"/>
      <c r="E76" s="671"/>
      <c r="F76" s="201"/>
      <c r="G76" s="201"/>
      <c r="H76" s="201"/>
      <c r="I76" s="201"/>
      <c r="J76" s="217"/>
      <c r="K76" s="204">
        <f t="shared" si="5"/>
        <v>0</v>
      </c>
      <c r="L76" s="204"/>
      <c r="M76" s="204"/>
      <c r="N76" s="204"/>
      <c r="O76" s="204"/>
      <c r="P76" s="204">
        <f t="shared" ref="P76:P85" si="7">O76</f>
        <v>0</v>
      </c>
      <c r="Q76" s="204"/>
      <c r="R76" s="206">
        <f t="shared" si="3"/>
        <v>0</v>
      </c>
    </row>
    <row r="77" spans="1:18" s="185" customFormat="1" ht="31.5" hidden="1" x14ac:dyDescent="0.2">
      <c r="A77" s="198"/>
      <c r="B77" s="221" t="s">
        <v>133</v>
      </c>
      <c r="C77" s="208" t="s">
        <v>134</v>
      </c>
      <c r="D77" s="648" t="s">
        <v>135</v>
      </c>
      <c r="E77" s="464" t="s">
        <v>136</v>
      </c>
      <c r="F77" s="201">
        <f t="shared" si="6"/>
        <v>0</v>
      </c>
      <c r="G77" s="203"/>
      <c r="H77" s="203"/>
      <c r="I77" s="203"/>
      <c r="J77" s="203"/>
      <c r="K77" s="684">
        <f t="shared" si="5"/>
        <v>0</v>
      </c>
      <c r="L77" s="686"/>
      <c r="M77" s="686"/>
      <c r="N77" s="686"/>
      <c r="O77" s="771"/>
      <c r="P77" s="771">
        <f t="shared" si="7"/>
        <v>0</v>
      </c>
      <c r="Q77" s="771"/>
      <c r="R77" s="624">
        <f t="shared" si="3"/>
        <v>0</v>
      </c>
    </row>
    <row r="78" spans="1:18" s="185" customFormat="1" ht="15" hidden="1" customHeight="1" x14ac:dyDescent="0.2">
      <c r="A78" s="198"/>
      <c r="B78" s="221" t="s">
        <v>137</v>
      </c>
      <c r="C78" s="208" t="s">
        <v>138</v>
      </c>
      <c r="D78" s="648" t="s">
        <v>139</v>
      </c>
      <c r="E78" s="464" t="s">
        <v>140</v>
      </c>
      <c r="F78" s="201">
        <f t="shared" si="6"/>
        <v>0</v>
      </c>
      <c r="G78" s="203"/>
      <c r="H78" s="203"/>
      <c r="I78" s="203"/>
      <c r="J78" s="207"/>
      <c r="K78" s="204">
        <f t="shared" si="5"/>
        <v>0</v>
      </c>
      <c r="L78" s="209"/>
      <c r="M78" s="209"/>
      <c r="N78" s="209"/>
      <c r="O78" s="209"/>
      <c r="P78" s="209">
        <f t="shared" si="7"/>
        <v>0</v>
      </c>
      <c r="Q78" s="209"/>
      <c r="R78" s="206">
        <f t="shared" si="3"/>
        <v>0</v>
      </c>
    </row>
    <row r="79" spans="1:18" s="185" customFormat="1" ht="15.75" hidden="1" x14ac:dyDescent="0.2">
      <c r="A79" s="198"/>
      <c r="B79" s="221"/>
      <c r="C79" s="208"/>
      <c r="D79" s="648"/>
      <c r="E79" s="464"/>
      <c r="F79" s="207"/>
      <c r="G79" s="207"/>
      <c r="H79" s="203"/>
      <c r="I79" s="203"/>
      <c r="J79" s="203"/>
      <c r="K79" s="204">
        <f t="shared" si="5"/>
        <v>0</v>
      </c>
      <c r="L79" s="209"/>
      <c r="M79" s="209"/>
      <c r="N79" s="209"/>
      <c r="O79" s="209"/>
      <c r="P79" s="209">
        <f t="shared" si="7"/>
        <v>0</v>
      </c>
      <c r="Q79" s="209">
        <f>O79</f>
        <v>0</v>
      </c>
      <c r="R79" s="206">
        <f t="shared" si="3"/>
        <v>0</v>
      </c>
    </row>
    <row r="80" spans="1:18" s="185" customFormat="1" ht="47.25" hidden="1" x14ac:dyDescent="0.2">
      <c r="A80" s="198"/>
      <c r="B80" s="221" t="s">
        <v>430</v>
      </c>
      <c r="C80" s="208" t="s">
        <v>431</v>
      </c>
      <c r="D80" s="648" t="s">
        <v>24</v>
      </c>
      <c r="E80" s="464" t="s">
        <v>432</v>
      </c>
      <c r="F80" s="201">
        <f t="shared" si="6"/>
        <v>0</v>
      </c>
      <c r="G80" s="227"/>
      <c r="H80" s="203"/>
      <c r="I80" s="203"/>
      <c r="J80" s="203"/>
      <c r="K80" s="204">
        <f t="shared" si="5"/>
        <v>0</v>
      </c>
      <c r="L80" s="209"/>
      <c r="M80" s="209"/>
      <c r="N80" s="209"/>
      <c r="O80" s="209"/>
      <c r="P80" s="209">
        <f t="shared" si="7"/>
        <v>0</v>
      </c>
      <c r="Q80" s="209">
        <f>O80</f>
        <v>0</v>
      </c>
      <c r="R80" s="206">
        <f t="shared" si="3"/>
        <v>0</v>
      </c>
    </row>
    <row r="81" spans="1:19" s="185" customFormat="1" ht="31.5" hidden="1" x14ac:dyDescent="0.2">
      <c r="A81" s="198"/>
      <c r="B81" s="221"/>
      <c r="C81" s="208"/>
      <c r="D81" s="648"/>
      <c r="E81" s="464" t="s">
        <v>433</v>
      </c>
      <c r="F81" s="201">
        <f t="shared" si="6"/>
        <v>0</v>
      </c>
      <c r="G81" s="227"/>
      <c r="H81" s="203"/>
      <c r="I81" s="203"/>
      <c r="J81" s="203"/>
      <c r="K81" s="204">
        <f t="shared" si="5"/>
        <v>0</v>
      </c>
      <c r="L81" s="209"/>
      <c r="M81" s="209"/>
      <c r="N81" s="209"/>
      <c r="O81" s="209"/>
      <c r="P81" s="209">
        <f t="shared" si="7"/>
        <v>0</v>
      </c>
      <c r="Q81" s="209"/>
      <c r="R81" s="206">
        <f t="shared" si="3"/>
        <v>0</v>
      </c>
    </row>
    <row r="82" spans="1:19" s="185" customFormat="1" ht="47.25" hidden="1" x14ac:dyDescent="0.2">
      <c r="A82" s="198"/>
      <c r="B82" s="221" t="s">
        <v>607</v>
      </c>
      <c r="C82" s="208" t="s">
        <v>733</v>
      </c>
      <c r="D82" s="648" t="s">
        <v>24</v>
      </c>
      <c r="E82" s="672" t="s">
        <v>737</v>
      </c>
      <c r="F82" s="201">
        <f t="shared" si="6"/>
        <v>0</v>
      </c>
      <c r="G82" s="203"/>
      <c r="H82" s="203"/>
      <c r="I82" s="203"/>
      <c r="J82" s="203"/>
      <c r="K82" s="217">
        <f t="shared" si="5"/>
        <v>0</v>
      </c>
      <c r="L82" s="207"/>
      <c r="M82" s="207"/>
      <c r="N82" s="207"/>
      <c r="O82" s="207"/>
      <c r="P82" s="207">
        <f t="shared" si="7"/>
        <v>0</v>
      </c>
      <c r="Q82" s="207"/>
      <c r="R82" s="206">
        <f t="shared" si="3"/>
        <v>0</v>
      </c>
    </row>
    <row r="83" spans="1:19" s="185" customFormat="1" ht="15" hidden="1" customHeight="1" x14ac:dyDescent="0.2">
      <c r="A83" s="198"/>
      <c r="B83" s="228" t="s">
        <v>434</v>
      </c>
      <c r="C83" s="208"/>
      <c r="D83" s="648"/>
      <c r="E83" s="672"/>
      <c r="F83" s="201">
        <f t="shared" si="6"/>
        <v>0</v>
      </c>
      <c r="G83" s="203"/>
      <c r="H83" s="203"/>
      <c r="I83" s="203"/>
      <c r="J83" s="203"/>
      <c r="K83" s="204">
        <f t="shared" si="5"/>
        <v>0</v>
      </c>
      <c r="L83" s="209"/>
      <c r="M83" s="209"/>
      <c r="N83" s="209"/>
      <c r="O83" s="209"/>
      <c r="P83" s="209">
        <f t="shared" si="7"/>
        <v>0</v>
      </c>
      <c r="Q83" s="209"/>
      <c r="R83" s="206">
        <f t="shared" si="3"/>
        <v>0</v>
      </c>
    </row>
    <row r="84" spans="1:19" s="185" customFormat="1" ht="15" hidden="1" customHeight="1" x14ac:dyDescent="0.2">
      <c r="A84" s="198"/>
      <c r="B84" s="228"/>
      <c r="C84" s="208"/>
      <c r="D84" s="648"/>
      <c r="E84" s="672"/>
      <c r="F84" s="201">
        <f t="shared" si="6"/>
        <v>0</v>
      </c>
      <c r="G84" s="203"/>
      <c r="H84" s="203"/>
      <c r="I84" s="203"/>
      <c r="J84" s="203"/>
      <c r="K84" s="204">
        <f t="shared" si="5"/>
        <v>0</v>
      </c>
      <c r="L84" s="209"/>
      <c r="M84" s="209"/>
      <c r="N84" s="209"/>
      <c r="O84" s="209"/>
      <c r="P84" s="209">
        <f t="shared" si="7"/>
        <v>0</v>
      </c>
      <c r="Q84" s="209"/>
      <c r="R84" s="206">
        <f t="shared" si="3"/>
        <v>0</v>
      </c>
    </row>
    <row r="85" spans="1:19" s="185" customFormat="1" ht="15" hidden="1" customHeight="1" x14ac:dyDescent="0.2">
      <c r="A85" s="198"/>
      <c r="B85" s="228"/>
      <c r="C85" s="208"/>
      <c r="D85" s="648"/>
      <c r="E85" s="672"/>
      <c r="F85" s="201">
        <f t="shared" si="6"/>
        <v>0</v>
      </c>
      <c r="G85" s="203"/>
      <c r="H85" s="203"/>
      <c r="I85" s="203"/>
      <c r="J85" s="203"/>
      <c r="K85" s="204">
        <f t="shared" si="5"/>
        <v>0</v>
      </c>
      <c r="L85" s="209"/>
      <c r="M85" s="209"/>
      <c r="N85" s="209"/>
      <c r="O85" s="209"/>
      <c r="P85" s="209">
        <f t="shared" si="7"/>
        <v>0</v>
      </c>
      <c r="Q85" s="209"/>
      <c r="R85" s="206">
        <f t="shared" si="3"/>
        <v>0</v>
      </c>
    </row>
    <row r="86" spans="1:19" s="185" customFormat="1" ht="15" hidden="1" customHeight="1" x14ac:dyDescent="0.2">
      <c r="A86" s="198"/>
      <c r="B86" s="229"/>
      <c r="C86" s="210" t="s">
        <v>295</v>
      </c>
      <c r="D86" s="649"/>
      <c r="E86" s="673"/>
      <c r="F86" s="211">
        <f t="shared" ref="F86:R86" si="8">SUM(F18:F85)-F19-F30-F51</f>
        <v>195000</v>
      </c>
      <c r="G86" s="211">
        <f t="shared" si="8"/>
        <v>195000</v>
      </c>
      <c r="H86" s="211">
        <f t="shared" si="8"/>
        <v>0</v>
      </c>
      <c r="I86" s="211">
        <f t="shared" si="8"/>
        <v>0</v>
      </c>
      <c r="J86" s="211">
        <f t="shared" si="8"/>
        <v>0</v>
      </c>
      <c r="K86" s="211">
        <f t="shared" si="8"/>
        <v>0</v>
      </c>
      <c r="L86" s="211">
        <f t="shared" si="8"/>
        <v>0</v>
      </c>
      <c r="M86" s="211">
        <f t="shared" si="8"/>
        <v>0</v>
      </c>
      <c r="N86" s="211">
        <f t="shared" si="8"/>
        <v>0</v>
      </c>
      <c r="O86" s="211">
        <f t="shared" si="8"/>
        <v>0</v>
      </c>
      <c r="P86" s="211">
        <f t="shared" si="8"/>
        <v>0</v>
      </c>
      <c r="Q86" s="211">
        <f t="shared" si="8"/>
        <v>0</v>
      </c>
      <c r="R86" s="674">
        <f t="shared" si="8"/>
        <v>195000</v>
      </c>
    </row>
    <row r="87" spans="1:19" s="185" customFormat="1" ht="15.75" hidden="1" x14ac:dyDescent="0.2">
      <c r="A87" s="198"/>
      <c r="B87" s="230"/>
      <c r="C87" s="208"/>
      <c r="D87" s="648"/>
      <c r="E87" s="464"/>
      <c r="F87" s="203">
        <f t="shared" ref="F87:Q87" si="9">F14-F86</f>
        <v>0</v>
      </c>
      <c r="G87" s="203">
        <f t="shared" si="9"/>
        <v>0</v>
      </c>
      <c r="H87" s="203">
        <f t="shared" si="9"/>
        <v>0</v>
      </c>
      <c r="I87" s="203">
        <f t="shared" si="9"/>
        <v>0</v>
      </c>
      <c r="J87" s="203">
        <f t="shared" si="9"/>
        <v>0</v>
      </c>
      <c r="K87" s="203">
        <f t="shared" si="9"/>
        <v>0</v>
      </c>
      <c r="L87" s="203">
        <f t="shared" si="9"/>
        <v>0</v>
      </c>
      <c r="M87" s="203">
        <f t="shared" si="9"/>
        <v>0</v>
      </c>
      <c r="N87" s="203">
        <f t="shared" si="9"/>
        <v>0</v>
      </c>
      <c r="O87" s="203">
        <f t="shared" si="9"/>
        <v>0</v>
      </c>
      <c r="P87" s="203">
        <f t="shared" si="9"/>
        <v>0</v>
      </c>
      <c r="Q87" s="203">
        <f t="shared" si="9"/>
        <v>0</v>
      </c>
      <c r="R87" s="206">
        <f t="shared" si="3"/>
        <v>0</v>
      </c>
    </row>
    <row r="88" spans="1:19" s="185" customFormat="1" ht="33.75" customHeight="1" x14ac:dyDescent="0.2">
      <c r="A88" s="198"/>
      <c r="B88" s="199" t="s">
        <v>141</v>
      </c>
      <c r="C88" s="208"/>
      <c r="D88" s="648"/>
      <c r="E88" s="661" t="s">
        <v>435</v>
      </c>
      <c r="F88" s="201">
        <f>F89</f>
        <v>-211876</v>
      </c>
      <c r="G88" s="201">
        <f t="shared" ref="G88:R88" si="10">G89</f>
        <v>-211876</v>
      </c>
      <c r="H88" s="201">
        <f t="shared" si="10"/>
        <v>0</v>
      </c>
      <c r="I88" s="201">
        <f t="shared" si="10"/>
        <v>105635</v>
      </c>
      <c r="J88" s="201">
        <f t="shared" si="10"/>
        <v>0</v>
      </c>
      <c r="K88" s="201">
        <f t="shared" si="10"/>
        <v>99500</v>
      </c>
      <c r="L88" s="201">
        <f t="shared" si="10"/>
        <v>99500</v>
      </c>
      <c r="M88" s="201">
        <f t="shared" si="10"/>
        <v>0</v>
      </c>
      <c r="N88" s="201">
        <f t="shared" si="10"/>
        <v>0</v>
      </c>
      <c r="O88" s="201">
        <f t="shared" si="10"/>
        <v>0</v>
      </c>
      <c r="P88" s="201">
        <f t="shared" si="10"/>
        <v>0</v>
      </c>
      <c r="Q88" s="201">
        <f t="shared" si="10"/>
        <v>99500</v>
      </c>
      <c r="R88" s="206">
        <f t="shared" si="10"/>
        <v>-112376</v>
      </c>
    </row>
    <row r="89" spans="1:19" s="185" customFormat="1" ht="37.5" customHeight="1" x14ac:dyDescent="0.2">
      <c r="A89" s="198"/>
      <c r="B89" s="199" t="s">
        <v>436</v>
      </c>
      <c r="C89" s="208" t="s">
        <v>439</v>
      </c>
      <c r="D89" s="648"/>
      <c r="E89" s="661" t="s">
        <v>435</v>
      </c>
      <c r="F89" s="201">
        <f>F94+F96+F99+F100+F101+F107+F102+F104+F108+F110+F93+F97+F109+F111+F112+F105+F106</f>
        <v>-211876</v>
      </c>
      <c r="G89" s="201">
        <f t="shared" ref="G89:R89" si="11">G94+G96+G99+G100+G101+G107+G102+G104+G108+G110+G93+G97+G109+G111+G112+G105+G106</f>
        <v>-211876</v>
      </c>
      <c r="H89" s="201">
        <f t="shared" si="11"/>
        <v>0</v>
      </c>
      <c r="I89" s="201">
        <f t="shared" si="11"/>
        <v>105635</v>
      </c>
      <c r="J89" s="201">
        <f t="shared" si="11"/>
        <v>0</v>
      </c>
      <c r="K89" s="201">
        <f t="shared" si="11"/>
        <v>99500</v>
      </c>
      <c r="L89" s="201">
        <f t="shared" si="11"/>
        <v>99500</v>
      </c>
      <c r="M89" s="201">
        <f t="shared" si="11"/>
        <v>0</v>
      </c>
      <c r="N89" s="201">
        <f t="shared" si="11"/>
        <v>0</v>
      </c>
      <c r="O89" s="201">
        <f t="shared" si="11"/>
        <v>0</v>
      </c>
      <c r="P89" s="201">
        <f t="shared" si="11"/>
        <v>0</v>
      </c>
      <c r="Q89" s="201">
        <f t="shared" si="11"/>
        <v>99500</v>
      </c>
      <c r="R89" s="201">
        <f t="shared" si="11"/>
        <v>-112376</v>
      </c>
      <c r="S89" s="232">
        <f>H89+O89</f>
        <v>0</v>
      </c>
    </row>
    <row r="90" spans="1:19" s="185" customFormat="1" ht="31.5" hidden="1" x14ac:dyDescent="0.2">
      <c r="A90" s="198"/>
      <c r="B90" s="199"/>
      <c r="C90" s="208"/>
      <c r="D90" s="648"/>
      <c r="E90" s="464" t="s">
        <v>894</v>
      </c>
      <c r="F90" s="201">
        <f>G90+J90</f>
        <v>0</v>
      </c>
      <c r="G90" s="788"/>
      <c r="H90" s="233"/>
      <c r="I90" s="203"/>
      <c r="J90" s="203">
        <f t="shared" ref="J90:Q90" si="12">J97</f>
        <v>0</v>
      </c>
      <c r="K90" s="217">
        <f t="shared" si="5"/>
        <v>0</v>
      </c>
      <c r="L90" s="207">
        <f t="shared" si="12"/>
        <v>0</v>
      </c>
      <c r="M90" s="207"/>
      <c r="N90" s="207">
        <f t="shared" si="12"/>
        <v>0</v>
      </c>
      <c r="O90" s="207">
        <f t="shared" si="12"/>
        <v>0</v>
      </c>
      <c r="P90" s="207">
        <f t="shared" si="12"/>
        <v>0</v>
      </c>
      <c r="Q90" s="207">
        <f t="shared" si="12"/>
        <v>0</v>
      </c>
      <c r="R90" s="206">
        <f t="shared" si="3"/>
        <v>0</v>
      </c>
      <c r="S90" s="185">
        <f>S89/R89*100</f>
        <v>0</v>
      </c>
    </row>
    <row r="91" spans="1:19" s="185" customFormat="1" ht="47.25" hidden="1" x14ac:dyDescent="0.2">
      <c r="A91" s="198"/>
      <c r="B91" s="199"/>
      <c r="C91" s="208"/>
      <c r="D91" s="648"/>
      <c r="E91" s="464" t="s">
        <v>440</v>
      </c>
      <c r="F91" s="201">
        <f>G91+J91</f>
        <v>0</v>
      </c>
      <c r="G91" s="201">
        <f>G109+G108</f>
        <v>0</v>
      </c>
      <c r="H91" s="201"/>
      <c r="I91" s="201">
        <f>I103</f>
        <v>0</v>
      </c>
      <c r="J91" s="203"/>
      <c r="K91" s="217">
        <f t="shared" si="5"/>
        <v>0</v>
      </c>
      <c r="L91" s="201">
        <f t="shared" ref="L91:Q91" si="13">L109</f>
        <v>0</v>
      </c>
      <c r="M91" s="201">
        <f t="shared" si="13"/>
        <v>0</v>
      </c>
      <c r="N91" s="201">
        <f t="shared" si="13"/>
        <v>0</v>
      </c>
      <c r="O91" s="201">
        <f t="shared" si="13"/>
        <v>0</v>
      </c>
      <c r="P91" s="201">
        <f t="shared" si="13"/>
        <v>0</v>
      </c>
      <c r="Q91" s="201">
        <f t="shared" si="13"/>
        <v>0</v>
      </c>
      <c r="R91" s="206">
        <f t="shared" si="3"/>
        <v>0</v>
      </c>
    </row>
    <row r="92" spans="1:19" s="185" customFormat="1" ht="63" hidden="1" x14ac:dyDescent="0.2">
      <c r="A92" s="198"/>
      <c r="B92" s="199"/>
      <c r="C92" s="208"/>
      <c r="D92" s="648"/>
      <c r="E92" s="464" t="s">
        <v>441</v>
      </c>
      <c r="F92" s="201">
        <f t="shared" ref="F92:Q92" si="14">F98+F95</f>
        <v>0</v>
      </c>
      <c r="G92" s="201">
        <f t="shared" si="14"/>
        <v>0</v>
      </c>
      <c r="H92" s="201">
        <f t="shared" si="14"/>
        <v>0</v>
      </c>
      <c r="I92" s="201">
        <f t="shared" si="14"/>
        <v>0</v>
      </c>
      <c r="J92" s="201">
        <f t="shared" si="14"/>
        <v>0</v>
      </c>
      <c r="K92" s="201">
        <f t="shared" si="14"/>
        <v>0</v>
      </c>
      <c r="L92" s="201">
        <f t="shared" si="14"/>
        <v>0</v>
      </c>
      <c r="M92" s="201">
        <f t="shared" si="14"/>
        <v>0</v>
      </c>
      <c r="N92" s="201">
        <f t="shared" si="14"/>
        <v>0</v>
      </c>
      <c r="O92" s="201">
        <f t="shared" si="14"/>
        <v>0</v>
      </c>
      <c r="P92" s="201">
        <f t="shared" si="14"/>
        <v>0</v>
      </c>
      <c r="Q92" s="201">
        <f t="shared" si="14"/>
        <v>0</v>
      </c>
      <c r="R92" s="206">
        <f t="shared" si="3"/>
        <v>0</v>
      </c>
    </row>
    <row r="93" spans="1:19" s="185" customFormat="1" ht="47.25" hidden="1" x14ac:dyDescent="0.2">
      <c r="A93" s="198"/>
      <c r="B93" s="230"/>
      <c r="C93" s="231" t="s">
        <v>437</v>
      </c>
      <c r="D93" s="653" t="s">
        <v>19</v>
      </c>
      <c r="E93" s="675" t="s">
        <v>438</v>
      </c>
      <c r="F93" s="201"/>
      <c r="G93" s="201"/>
      <c r="H93" s="201"/>
      <c r="I93" s="201"/>
      <c r="J93" s="201"/>
      <c r="K93" s="201"/>
      <c r="L93" s="201"/>
      <c r="M93" s="201"/>
      <c r="N93" s="201"/>
      <c r="O93" s="201"/>
      <c r="P93" s="201"/>
      <c r="Q93" s="201"/>
      <c r="R93" s="206">
        <f t="shared" si="3"/>
        <v>0</v>
      </c>
    </row>
    <row r="94" spans="1:19" s="185" customFormat="1" ht="21" customHeight="1" x14ac:dyDescent="0.2">
      <c r="A94" s="198"/>
      <c r="B94" s="230" t="s">
        <v>143</v>
      </c>
      <c r="C94" s="225" t="s">
        <v>53</v>
      </c>
      <c r="D94" s="651" t="s">
        <v>144</v>
      </c>
      <c r="E94" s="464" t="s">
        <v>442</v>
      </c>
      <c r="F94" s="201">
        <f t="shared" ref="F94:F104" si="15">G94+J94</f>
        <v>-66741</v>
      </c>
      <c r="G94" s="203">
        <f>-112376-60000+105635</f>
        <v>-66741</v>
      </c>
      <c r="H94" s="203"/>
      <c r="I94" s="203">
        <v>105635</v>
      </c>
      <c r="J94" s="203"/>
      <c r="K94" s="217">
        <f t="shared" si="5"/>
        <v>0</v>
      </c>
      <c r="L94" s="207"/>
      <c r="M94" s="207"/>
      <c r="N94" s="207"/>
      <c r="O94" s="207"/>
      <c r="P94" s="207"/>
      <c r="Q94" s="207"/>
      <c r="R94" s="206">
        <f t="shared" si="3"/>
        <v>-66741</v>
      </c>
    </row>
    <row r="95" spans="1:19" s="185" customFormat="1" ht="63" hidden="1" x14ac:dyDescent="0.2">
      <c r="A95" s="198"/>
      <c r="B95" s="230"/>
      <c r="C95" s="225"/>
      <c r="D95" s="651"/>
      <c r="E95" s="464" t="s">
        <v>441</v>
      </c>
      <c r="F95" s="201">
        <f>G95+J95</f>
        <v>0</v>
      </c>
      <c r="G95" s="234"/>
      <c r="H95" s="203"/>
      <c r="I95" s="203"/>
      <c r="J95" s="203"/>
      <c r="K95" s="217">
        <f t="shared" si="5"/>
        <v>0</v>
      </c>
      <c r="L95" s="207"/>
      <c r="M95" s="207"/>
      <c r="N95" s="207"/>
      <c r="O95" s="207"/>
      <c r="P95" s="207"/>
      <c r="Q95" s="207"/>
      <c r="R95" s="206">
        <f t="shared" si="3"/>
        <v>0</v>
      </c>
    </row>
    <row r="96" spans="1:19" s="185" customFormat="1" ht="34.5" customHeight="1" x14ac:dyDescent="0.2">
      <c r="A96" s="198"/>
      <c r="B96" s="221" t="s">
        <v>146</v>
      </c>
      <c r="C96" s="225" t="s">
        <v>147</v>
      </c>
      <c r="D96" s="651" t="s">
        <v>148</v>
      </c>
      <c r="E96" s="464" t="s">
        <v>443</v>
      </c>
      <c r="F96" s="201">
        <f t="shared" si="15"/>
        <v>-145135</v>
      </c>
      <c r="G96" s="203">
        <f>-99500-45635</f>
        <v>-145135</v>
      </c>
      <c r="H96" s="203"/>
      <c r="I96" s="207"/>
      <c r="J96" s="203"/>
      <c r="K96" s="217">
        <f t="shared" si="5"/>
        <v>0</v>
      </c>
      <c r="L96" s="207"/>
      <c r="M96" s="207"/>
      <c r="N96" s="207"/>
      <c r="O96" s="207"/>
      <c r="P96" s="207"/>
      <c r="Q96" s="207"/>
      <c r="R96" s="206">
        <f t="shared" si="3"/>
        <v>-145135</v>
      </c>
    </row>
    <row r="97" spans="1:18" s="185" customFormat="1" ht="31.5" hidden="1" x14ac:dyDescent="0.2">
      <c r="A97" s="198"/>
      <c r="B97" s="219" t="s">
        <v>444</v>
      </c>
      <c r="C97" s="235" t="s">
        <v>445</v>
      </c>
      <c r="D97" s="654" t="s">
        <v>148</v>
      </c>
      <c r="E97" s="666" t="s">
        <v>443</v>
      </c>
      <c r="F97" s="684">
        <f t="shared" si="15"/>
        <v>0</v>
      </c>
      <c r="G97" s="685"/>
      <c r="H97" s="686"/>
      <c r="I97" s="687"/>
      <c r="J97" s="687"/>
      <c r="K97" s="684">
        <f t="shared" si="5"/>
        <v>0</v>
      </c>
      <c r="L97" s="686"/>
      <c r="M97" s="686"/>
      <c r="N97" s="686"/>
      <c r="O97" s="686"/>
      <c r="P97" s="686"/>
      <c r="Q97" s="686"/>
      <c r="R97" s="624">
        <f t="shared" si="3"/>
        <v>0</v>
      </c>
    </row>
    <row r="98" spans="1:18" s="185" customFormat="1" ht="63" hidden="1" customHeight="1" x14ac:dyDescent="0.2">
      <c r="A98" s="198"/>
      <c r="B98" s="221"/>
      <c r="C98" s="225"/>
      <c r="D98" s="651"/>
      <c r="E98" s="464" t="s">
        <v>441</v>
      </c>
      <c r="F98" s="201">
        <f t="shared" si="15"/>
        <v>0</v>
      </c>
      <c r="G98" s="234"/>
      <c r="H98" s="203"/>
      <c r="I98" s="203"/>
      <c r="J98" s="203"/>
      <c r="K98" s="217">
        <f>N98+L98</f>
        <v>0</v>
      </c>
      <c r="L98" s="207"/>
      <c r="M98" s="207"/>
      <c r="N98" s="207"/>
      <c r="O98" s="207"/>
      <c r="P98" s="207"/>
      <c r="Q98" s="207"/>
      <c r="R98" s="206">
        <f t="shared" si="3"/>
        <v>0</v>
      </c>
    </row>
    <row r="99" spans="1:18" s="185" customFormat="1" ht="47.25" hidden="1" x14ac:dyDescent="0.2">
      <c r="A99" s="198"/>
      <c r="B99" s="221" t="s">
        <v>150</v>
      </c>
      <c r="C99" s="225" t="s">
        <v>29</v>
      </c>
      <c r="D99" s="651" t="s">
        <v>151</v>
      </c>
      <c r="E99" s="464" t="s">
        <v>152</v>
      </c>
      <c r="F99" s="201">
        <f t="shared" si="15"/>
        <v>0</v>
      </c>
      <c r="G99" s="203"/>
      <c r="H99" s="203"/>
      <c r="I99" s="203"/>
      <c r="J99" s="203"/>
      <c r="K99" s="217">
        <f t="shared" si="5"/>
        <v>0</v>
      </c>
      <c r="L99" s="207"/>
      <c r="M99" s="207"/>
      <c r="N99" s="207"/>
      <c r="O99" s="207"/>
      <c r="P99" s="207"/>
      <c r="Q99" s="207"/>
      <c r="R99" s="206">
        <f t="shared" si="3"/>
        <v>0</v>
      </c>
    </row>
    <row r="100" spans="1:18" s="185" customFormat="1" ht="21" customHeight="1" x14ac:dyDescent="0.2">
      <c r="A100" s="198"/>
      <c r="B100" s="785" t="s">
        <v>153</v>
      </c>
      <c r="C100" s="751" t="s">
        <v>154</v>
      </c>
      <c r="D100" s="786" t="s">
        <v>155</v>
      </c>
      <c r="E100" s="680" t="s">
        <v>156</v>
      </c>
      <c r="F100" s="201">
        <f t="shared" si="15"/>
        <v>10000</v>
      </c>
      <c r="G100" s="203">
        <v>10000</v>
      </c>
      <c r="H100" s="203"/>
      <c r="I100" s="203"/>
      <c r="J100" s="203"/>
      <c r="K100" s="217">
        <f t="shared" si="5"/>
        <v>0</v>
      </c>
      <c r="L100" s="207"/>
      <c r="M100" s="207"/>
      <c r="N100" s="207"/>
      <c r="O100" s="207"/>
      <c r="P100" s="207"/>
      <c r="Q100" s="207"/>
      <c r="R100" s="206">
        <f t="shared" si="3"/>
        <v>10000</v>
      </c>
    </row>
    <row r="101" spans="1:18" s="185" customFormat="1" ht="22.5" customHeight="1" x14ac:dyDescent="0.2">
      <c r="A101" s="198"/>
      <c r="B101" s="785" t="s">
        <v>157</v>
      </c>
      <c r="C101" s="751" t="s">
        <v>158</v>
      </c>
      <c r="D101" s="786" t="s">
        <v>155</v>
      </c>
      <c r="E101" s="680" t="s">
        <v>159</v>
      </c>
      <c r="F101" s="201">
        <f t="shared" si="15"/>
        <v>-10000</v>
      </c>
      <c r="G101" s="207">
        <v>-10000</v>
      </c>
      <c r="H101" s="217"/>
      <c r="I101" s="217"/>
      <c r="J101" s="217"/>
      <c r="K101" s="217">
        <f t="shared" si="5"/>
        <v>0</v>
      </c>
      <c r="L101" s="217"/>
      <c r="M101" s="217"/>
      <c r="N101" s="217"/>
      <c r="O101" s="217"/>
      <c r="P101" s="217"/>
      <c r="Q101" s="217"/>
      <c r="R101" s="206">
        <f t="shared" si="3"/>
        <v>-10000</v>
      </c>
    </row>
    <row r="102" spans="1:18" s="185" customFormat="1" ht="31.15" hidden="1" customHeight="1" x14ac:dyDescent="0.2">
      <c r="A102" s="198"/>
      <c r="B102" s="787" t="s">
        <v>447</v>
      </c>
      <c r="C102" s="751" t="s">
        <v>448</v>
      </c>
      <c r="D102" s="786" t="s">
        <v>155</v>
      </c>
      <c r="E102" s="680" t="s">
        <v>449</v>
      </c>
      <c r="F102" s="201">
        <f t="shared" si="15"/>
        <v>0</v>
      </c>
      <c r="G102" s="207"/>
      <c r="H102" s="207"/>
      <c r="I102" s="207"/>
      <c r="J102" s="207"/>
      <c r="K102" s="217">
        <f t="shared" si="5"/>
        <v>0</v>
      </c>
      <c r="L102" s="207"/>
      <c r="M102" s="207"/>
      <c r="N102" s="207"/>
      <c r="O102" s="207"/>
      <c r="P102" s="207"/>
      <c r="Q102" s="207"/>
      <c r="R102" s="206">
        <f t="shared" ref="R102:R112" si="16">F102+K102</f>
        <v>0</v>
      </c>
    </row>
    <row r="103" spans="1:18" s="185" customFormat="1" ht="46.9" hidden="1" customHeight="1" x14ac:dyDescent="0.2">
      <c r="A103" s="198"/>
      <c r="B103" s="787" t="s">
        <v>450</v>
      </c>
      <c r="C103" s="751" t="s">
        <v>451</v>
      </c>
      <c r="D103" s="786" t="s">
        <v>155</v>
      </c>
      <c r="E103" s="694" t="s">
        <v>452</v>
      </c>
      <c r="F103" s="201">
        <f t="shared" si="15"/>
        <v>0</v>
      </c>
      <c r="G103" s="217"/>
      <c r="H103" s="217"/>
      <c r="I103" s="217"/>
      <c r="J103" s="207"/>
      <c r="K103" s="217">
        <f t="shared" si="5"/>
        <v>0</v>
      </c>
      <c r="L103" s="207"/>
      <c r="M103" s="207"/>
      <c r="N103" s="207"/>
      <c r="O103" s="207"/>
      <c r="P103" s="207"/>
      <c r="Q103" s="207"/>
      <c r="R103" s="206">
        <f t="shared" si="16"/>
        <v>0</v>
      </c>
    </row>
    <row r="104" spans="1:18" s="185" customFormat="1" ht="15.6" hidden="1" customHeight="1" x14ac:dyDescent="0.2">
      <c r="A104" s="198"/>
      <c r="B104" s="787" t="s">
        <v>446</v>
      </c>
      <c r="C104" s="775" t="s">
        <v>453</v>
      </c>
      <c r="D104" s="776" t="s">
        <v>155</v>
      </c>
      <c r="E104" s="694" t="s">
        <v>454</v>
      </c>
      <c r="F104" s="201">
        <f t="shared" si="15"/>
        <v>0</v>
      </c>
      <c r="G104" s="207"/>
      <c r="H104" s="207"/>
      <c r="I104" s="207"/>
      <c r="J104" s="207"/>
      <c r="K104" s="217">
        <f t="shared" si="5"/>
        <v>0</v>
      </c>
      <c r="L104" s="207"/>
      <c r="M104" s="207"/>
      <c r="N104" s="207"/>
      <c r="O104" s="207"/>
      <c r="P104" s="207"/>
      <c r="Q104" s="207"/>
      <c r="R104" s="206">
        <f t="shared" si="16"/>
        <v>0</v>
      </c>
    </row>
    <row r="105" spans="1:18" s="185" customFormat="1" ht="71.25" customHeight="1" x14ac:dyDescent="0.2">
      <c r="A105" s="198"/>
      <c r="B105" s="787" t="s">
        <v>927</v>
      </c>
      <c r="C105" s="775" t="s">
        <v>941</v>
      </c>
      <c r="D105" s="776" t="s">
        <v>155</v>
      </c>
      <c r="E105" s="694" t="s">
        <v>943</v>
      </c>
      <c r="F105" s="217"/>
      <c r="G105" s="207"/>
      <c r="H105" s="207"/>
      <c r="I105" s="207"/>
      <c r="J105" s="207"/>
      <c r="K105" s="217">
        <f t="shared" si="5"/>
        <v>99500</v>
      </c>
      <c r="L105" s="207">
        <v>99500</v>
      </c>
      <c r="M105" s="207"/>
      <c r="N105" s="207"/>
      <c r="O105" s="207"/>
      <c r="P105" s="207"/>
      <c r="Q105" s="207">
        <v>99500</v>
      </c>
      <c r="R105" s="206">
        <f t="shared" si="16"/>
        <v>99500</v>
      </c>
    </row>
    <row r="106" spans="1:18" s="185" customFormat="1" ht="63" hidden="1" x14ac:dyDescent="0.2">
      <c r="A106" s="198"/>
      <c r="B106" s="787" t="s">
        <v>935</v>
      </c>
      <c r="C106" s="775" t="s">
        <v>942</v>
      </c>
      <c r="D106" s="776" t="s">
        <v>155</v>
      </c>
      <c r="E106" s="694" t="s">
        <v>944</v>
      </c>
      <c r="F106" s="217"/>
      <c r="G106" s="207"/>
      <c r="H106" s="207"/>
      <c r="I106" s="207"/>
      <c r="J106" s="207"/>
      <c r="K106" s="217">
        <f t="shared" si="5"/>
        <v>0</v>
      </c>
      <c r="L106" s="207"/>
      <c r="M106" s="207"/>
      <c r="N106" s="207"/>
      <c r="O106" s="207"/>
      <c r="P106" s="207"/>
      <c r="Q106" s="207"/>
      <c r="R106" s="206">
        <f t="shared" si="16"/>
        <v>0</v>
      </c>
    </row>
    <row r="107" spans="1:18" s="185" customFormat="1" ht="78.75" hidden="1" x14ac:dyDescent="0.2">
      <c r="A107" s="198"/>
      <c r="B107" s="787" t="s">
        <v>883</v>
      </c>
      <c r="C107" s="775" t="s">
        <v>891</v>
      </c>
      <c r="D107" s="776" t="s">
        <v>155</v>
      </c>
      <c r="E107" s="694" t="s">
        <v>892</v>
      </c>
      <c r="F107" s="217">
        <f t="shared" ref="F107:F110" si="17">G107+J107</f>
        <v>0</v>
      </c>
      <c r="G107" s="203"/>
      <c r="H107" s="203"/>
      <c r="I107" s="203"/>
      <c r="J107" s="203"/>
      <c r="K107" s="217">
        <f t="shared" si="5"/>
        <v>0</v>
      </c>
      <c r="L107" s="207"/>
      <c r="M107" s="207"/>
      <c r="N107" s="207"/>
      <c r="O107" s="207"/>
      <c r="P107" s="207"/>
      <c r="Q107" s="207"/>
      <c r="R107" s="206">
        <f t="shared" si="16"/>
        <v>0</v>
      </c>
    </row>
    <row r="108" spans="1:18" s="185" customFormat="1" ht="63" hidden="1" x14ac:dyDescent="0.2">
      <c r="A108" s="198"/>
      <c r="B108" s="787" t="s">
        <v>875</v>
      </c>
      <c r="C108" s="775" t="s">
        <v>890</v>
      </c>
      <c r="D108" s="776" t="s">
        <v>155</v>
      </c>
      <c r="E108" s="694" t="s">
        <v>893</v>
      </c>
      <c r="F108" s="217">
        <f t="shared" si="17"/>
        <v>0</v>
      </c>
      <c r="G108" s="207"/>
      <c r="H108" s="207"/>
      <c r="I108" s="203"/>
      <c r="J108" s="203"/>
      <c r="K108" s="217">
        <f t="shared" si="5"/>
        <v>0</v>
      </c>
      <c r="L108" s="207"/>
      <c r="M108" s="207"/>
      <c r="N108" s="207"/>
      <c r="O108" s="207"/>
      <c r="P108" s="207"/>
      <c r="Q108" s="207"/>
      <c r="R108" s="206">
        <f t="shared" si="16"/>
        <v>0</v>
      </c>
    </row>
    <row r="109" spans="1:18" s="185" customFormat="1" ht="63" hidden="1" x14ac:dyDescent="0.2">
      <c r="A109" s="198"/>
      <c r="B109" s="787" t="s">
        <v>455</v>
      </c>
      <c r="C109" s="775" t="s">
        <v>456</v>
      </c>
      <c r="D109" s="776" t="s">
        <v>155</v>
      </c>
      <c r="E109" s="694" t="s">
        <v>457</v>
      </c>
      <c r="F109" s="218">
        <f t="shared" si="17"/>
        <v>0</v>
      </c>
      <c r="G109" s="215"/>
      <c r="H109" s="215"/>
      <c r="I109" s="203"/>
      <c r="J109" s="203"/>
      <c r="K109" s="217">
        <f>N109+L109</f>
        <v>0</v>
      </c>
      <c r="L109" s="207"/>
      <c r="M109" s="207"/>
      <c r="N109" s="207"/>
      <c r="O109" s="207"/>
      <c r="P109" s="207"/>
      <c r="Q109" s="207"/>
      <c r="R109" s="206">
        <f t="shared" si="16"/>
        <v>0</v>
      </c>
    </row>
    <row r="110" spans="1:18" s="185" customFormat="1" ht="31.15" hidden="1" customHeight="1" x14ac:dyDescent="0.2">
      <c r="A110" s="198"/>
      <c r="B110" s="787"/>
      <c r="C110" s="775"/>
      <c r="D110" s="776"/>
      <c r="E110" s="694"/>
      <c r="F110" s="218">
        <f t="shared" si="17"/>
        <v>0</v>
      </c>
      <c r="G110" s="236"/>
      <c r="H110" s="220"/>
      <c r="I110" s="220"/>
      <c r="J110" s="203"/>
      <c r="K110" s="217">
        <f>N110+L110</f>
        <v>0</v>
      </c>
      <c r="L110" s="207"/>
      <c r="M110" s="207"/>
      <c r="N110" s="207"/>
      <c r="O110" s="207"/>
      <c r="P110" s="207"/>
      <c r="Q110" s="207"/>
      <c r="R110" s="206">
        <f t="shared" si="16"/>
        <v>0</v>
      </c>
    </row>
    <row r="111" spans="1:18" s="185" customFormat="1" ht="63" hidden="1" x14ac:dyDescent="0.2">
      <c r="A111" s="198"/>
      <c r="B111" s="787" t="s">
        <v>896</v>
      </c>
      <c r="C111" s="775" t="s">
        <v>897</v>
      </c>
      <c r="D111" s="776" t="s">
        <v>155</v>
      </c>
      <c r="E111" s="694" t="s">
        <v>895</v>
      </c>
      <c r="F111" s="623">
        <f>G111+J111</f>
        <v>0</v>
      </c>
      <c r="G111" s="689"/>
      <c r="H111" s="621"/>
      <c r="I111" s="687"/>
      <c r="J111" s="687"/>
      <c r="K111" s="684">
        <f>N111+L111</f>
        <v>0</v>
      </c>
      <c r="L111" s="686"/>
      <c r="M111" s="686"/>
      <c r="N111" s="686"/>
      <c r="O111" s="686"/>
      <c r="P111" s="686"/>
      <c r="Q111" s="686"/>
      <c r="R111" s="624">
        <f t="shared" si="16"/>
        <v>0</v>
      </c>
    </row>
    <row r="112" spans="1:18" s="185" customFormat="1" ht="15.75" hidden="1" x14ac:dyDescent="0.2">
      <c r="A112" s="198"/>
      <c r="B112" s="769" t="s">
        <v>556</v>
      </c>
      <c r="C112" s="208" t="s">
        <v>557</v>
      </c>
      <c r="D112" s="208" t="s">
        <v>172</v>
      </c>
      <c r="E112" s="770" t="s">
        <v>558</v>
      </c>
      <c r="F112" s="218">
        <f>G112+J112</f>
        <v>0</v>
      </c>
      <c r="G112" s="220"/>
      <c r="H112" s="237"/>
      <c r="I112" s="203"/>
      <c r="J112" s="203"/>
      <c r="K112" s="684">
        <f>N112+L112</f>
        <v>0</v>
      </c>
      <c r="L112" s="686"/>
      <c r="M112" s="686"/>
      <c r="N112" s="686"/>
      <c r="O112" s="686"/>
      <c r="P112" s="686"/>
      <c r="Q112" s="686"/>
      <c r="R112" s="206">
        <f t="shared" si="16"/>
        <v>0</v>
      </c>
    </row>
    <row r="113" spans="1:18" s="185" customFormat="1" ht="37.5" customHeight="1" x14ac:dyDescent="0.2">
      <c r="A113" s="198"/>
      <c r="B113" s="622" t="s">
        <v>666</v>
      </c>
      <c r="C113" s="213"/>
      <c r="D113" s="650"/>
      <c r="E113" s="667" t="s">
        <v>667</v>
      </c>
      <c r="F113" s="623">
        <f>F114</f>
        <v>-42000</v>
      </c>
      <c r="G113" s="623">
        <f t="shared" ref="G113:R113" si="18">G114</f>
        <v>-42000</v>
      </c>
      <c r="H113" s="218">
        <f t="shared" si="18"/>
        <v>0</v>
      </c>
      <c r="I113" s="218">
        <f t="shared" si="18"/>
        <v>0</v>
      </c>
      <c r="J113" s="218">
        <f t="shared" si="18"/>
        <v>0</v>
      </c>
      <c r="K113" s="217">
        <f>N113+L113</f>
        <v>0</v>
      </c>
      <c r="L113" s="218">
        <f t="shared" si="18"/>
        <v>0</v>
      </c>
      <c r="M113" s="218">
        <f t="shared" si="18"/>
        <v>0</v>
      </c>
      <c r="N113" s="218">
        <f t="shared" si="18"/>
        <v>0</v>
      </c>
      <c r="O113" s="218">
        <f t="shared" si="18"/>
        <v>0</v>
      </c>
      <c r="P113" s="218">
        <f t="shared" si="18"/>
        <v>0</v>
      </c>
      <c r="Q113" s="218">
        <f t="shared" si="18"/>
        <v>0</v>
      </c>
      <c r="R113" s="676">
        <f t="shared" si="18"/>
        <v>-42000</v>
      </c>
    </row>
    <row r="114" spans="1:18" s="185" customFormat="1" ht="39" customHeight="1" x14ac:dyDescent="0.2">
      <c r="A114" s="198"/>
      <c r="B114" s="622" t="s">
        <v>668</v>
      </c>
      <c r="C114" s="213"/>
      <c r="D114" s="650"/>
      <c r="E114" s="667" t="s">
        <v>667</v>
      </c>
      <c r="F114" s="623">
        <f>F116+F117+F119+F121+F124+F125+F127+F129+F130+F131+F132+F133+F134+F135</f>
        <v>-42000</v>
      </c>
      <c r="G114" s="623">
        <f>G116+G117+G119+G121+G124+G125+G127+G129+G130+G131+G132+G133+G134+G135</f>
        <v>-42000</v>
      </c>
      <c r="H114" s="218">
        <f t="shared" ref="H114:R114" si="19">H116+H117+H119+H121+H124+H125+H127+H129+H130+H131+H132+H133+H134+H135</f>
        <v>0</v>
      </c>
      <c r="I114" s="218">
        <f t="shared" si="19"/>
        <v>0</v>
      </c>
      <c r="J114" s="218">
        <f t="shared" si="19"/>
        <v>0</v>
      </c>
      <c r="K114" s="218">
        <f t="shared" si="19"/>
        <v>0</v>
      </c>
      <c r="L114" s="218">
        <f t="shared" si="19"/>
        <v>0</v>
      </c>
      <c r="M114" s="218">
        <f t="shared" si="19"/>
        <v>0</v>
      </c>
      <c r="N114" s="218">
        <f>N116+N117+N119+N121+N124+N125+N127+N129+N130+N131+N132+N133+N134+N135</f>
        <v>0</v>
      </c>
      <c r="O114" s="218">
        <f>O116+O117+O119+O121+O124+O125+O127+O129+O130+O131+O132+O133+O134+O135</f>
        <v>0</v>
      </c>
      <c r="P114" s="218">
        <f>P116+P117+P119+P121+P124+P125+P127+P129+P130+P131+P132+P133+P134+P135</f>
        <v>0</v>
      </c>
      <c r="Q114" s="218">
        <f t="shared" si="19"/>
        <v>0</v>
      </c>
      <c r="R114" s="676">
        <f t="shared" si="19"/>
        <v>-42000</v>
      </c>
    </row>
    <row r="115" spans="1:18" s="185" customFormat="1" ht="31.5" hidden="1" x14ac:dyDescent="0.2">
      <c r="A115" s="198"/>
      <c r="B115" s="219"/>
      <c r="C115" s="490"/>
      <c r="D115" s="655"/>
      <c r="E115" s="666" t="s">
        <v>399</v>
      </c>
      <c r="F115" s="201">
        <f t="shared" ref="F115:F134" si="20">G115+J115</f>
        <v>0</v>
      </c>
      <c r="G115" s="218">
        <f>G121</f>
        <v>0</v>
      </c>
      <c r="H115" s="218">
        <f t="shared" ref="H115:R115" si="21">H118+H120</f>
        <v>0</v>
      </c>
      <c r="I115" s="218">
        <f t="shared" si="21"/>
        <v>0</v>
      </c>
      <c r="J115" s="218">
        <f t="shared" si="21"/>
        <v>0</v>
      </c>
      <c r="K115" s="217">
        <f t="shared" ref="K115:K134" si="22">N115+L115</f>
        <v>0</v>
      </c>
      <c r="L115" s="218">
        <f t="shared" si="21"/>
        <v>0</v>
      </c>
      <c r="M115" s="218">
        <f t="shared" si="21"/>
        <v>0</v>
      </c>
      <c r="N115" s="218">
        <f t="shared" si="21"/>
        <v>0</v>
      </c>
      <c r="O115" s="218">
        <f t="shared" si="21"/>
        <v>0</v>
      </c>
      <c r="P115" s="218">
        <f t="shared" si="21"/>
        <v>0</v>
      </c>
      <c r="Q115" s="218">
        <f t="shared" si="21"/>
        <v>0</v>
      </c>
      <c r="R115" s="677">
        <f t="shared" si="21"/>
        <v>0</v>
      </c>
    </row>
    <row r="116" spans="1:18" s="185" customFormat="1" ht="47.25" hidden="1" x14ac:dyDescent="0.2">
      <c r="A116" s="198"/>
      <c r="B116" s="230" t="s">
        <v>630</v>
      </c>
      <c r="C116" s="231" t="s">
        <v>437</v>
      </c>
      <c r="D116" s="653" t="s">
        <v>19</v>
      </c>
      <c r="E116" s="675" t="s">
        <v>438</v>
      </c>
      <c r="F116" s="201">
        <f t="shared" si="20"/>
        <v>0</v>
      </c>
      <c r="G116" s="220"/>
      <c r="H116" s="215"/>
      <c r="I116" s="203"/>
      <c r="J116" s="203"/>
      <c r="K116" s="217">
        <f t="shared" si="22"/>
        <v>0</v>
      </c>
      <c r="L116" s="207"/>
      <c r="M116" s="207"/>
      <c r="N116" s="207"/>
      <c r="O116" s="207"/>
      <c r="P116" s="207"/>
      <c r="Q116" s="207"/>
      <c r="R116" s="206">
        <f t="shared" ref="R116:R135" si="23">F116+K116</f>
        <v>0</v>
      </c>
    </row>
    <row r="117" spans="1:18" s="185" customFormat="1" ht="31.5" x14ac:dyDescent="0.2">
      <c r="A117" s="198"/>
      <c r="B117" s="219" t="s">
        <v>631</v>
      </c>
      <c r="C117" s="213" t="s">
        <v>391</v>
      </c>
      <c r="D117" s="650" t="s">
        <v>392</v>
      </c>
      <c r="E117" s="666" t="s">
        <v>393</v>
      </c>
      <c r="F117" s="620">
        <f t="shared" si="20"/>
        <v>-400000</v>
      </c>
      <c r="G117" s="621">
        <v>-400000</v>
      </c>
      <c r="H117" s="237"/>
      <c r="I117" s="203"/>
      <c r="J117" s="203"/>
      <c r="K117" s="217">
        <f t="shared" si="22"/>
        <v>0</v>
      </c>
      <c r="L117" s="203"/>
      <c r="M117" s="207"/>
      <c r="N117" s="207"/>
      <c r="O117" s="207"/>
      <c r="P117" s="207"/>
      <c r="Q117" s="203"/>
      <c r="R117" s="624">
        <f t="shared" si="23"/>
        <v>-400000</v>
      </c>
    </row>
    <row r="118" spans="1:18" s="185" customFormat="1" ht="36.75" customHeight="1" x14ac:dyDescent="0.2">
      <c r="A118" s="198"/>
      <c r="B118" s="219"/>
      <c r="C118" s="213"/>
      <c r="D118" s="650"/>
      <c r="E118" s="666" t="s">
        <v>399</v>
      </c>
      <c r="F118" s="201">
        <f t="shared" si="20"/>
        <v>0</v>
      </c>
      <c r="G118" s="621"/>
      <c r="H118" s="237"/>
      <c r="I118" s="203"/>
      <c r="J118" s="203"/>
      <c r="K118" s="217">
        <f t="shared" si="22"/>
        <v>0</v>
      </c>
      <c r="L118" s="207"/>
      <c r="M118" s="207"/>
      <c r="N118" s="207"/>
      <c r="O118" s="207"/>
      <c r="P118" s="207"/>
      <c r="Q118" s="207"/>
      <c r="R118" s="206">
        <f t="shared" si="23"/>
        <v>0</v>
      </c>
    </row>
    <row r="119" spans="1:18" s="185" customFormat="1" ht="51.75" customHeight="1" x14ac:dyDescent="0.2">
      <c r="A119" s="198"/>
      <c r="B119" s="219" t="s">
        <v>632</v>
      </c>
      <c r="C119" s="213" t="s">
        <v>394</v>
      </c>
      <c r="D119" s="650" t="s">
        <v>395</v>
      </c>
      <c r="E119" s="666" t="s">
        <v>396</v>
      </c>
      <c r="F119" s="201">
        <f t="shared" si="20"/>
        <v>553000</v>
      </c>
      <c r="G119" s="220">
        <f>103000+400000+50000</f>
        <v>553000</v>
      </c>
      <c r="H119" s="237"/>
      <c r="I119" s="203"/>
      <c r="J119" s="203"/>
      <c r="K119" s="217">
        <f t="shared" si="22"/>
        <v>0</v>
      </c>
      <c r="L119" s="207"/>
      <c r="M119" s="207"/>
      <c r="N119" s="207"/>
      <c r="O119" s="207"/>
      <c r="P119" s="207"/>
      <c r="Q119" s="207"/>
      <c r="R119" s="206">
        <f t="shared" si="23"/>
        <v>553000</v>
      </c>
    </row>
    <row r="120" spans="1:18" s="185" customFormat="1" ht="31.5" hidden="1" x14ac:dyDescent="0.2">
      <c r="A120" s="198"/>
      <c r="B120" s="219"/>
      <c r="C120" s="213"/>
      <c r="D120" s="650"/>
      <c r="E120" s="666" t="s">
        <v>399</v>
      </c>
      <c r="F120" s="201">
        <f>G120+J120</f>
        <v>0</v>
      </c>
      <c r="G120" s="220"/>
      <c r="H120" s="237"/>
      <c r="I120" s="203"/>
      <c r="J120" s="203"/>
      <c r="K120" s="217">
        <f t="shared" si="22"/>
        <v>0</v>
      </c>
      <c r="L120" s="207"/>
      <c r="M120" s="207"/>
      <c r="N120" s="207"/>
      <c r="O120" s="207"/>
      <c r="P120" s="207"/>
      <c r="Q120" s="207"/>
      <c r="R120" s="206">
        <f t="shared" si="23"/>
        <v>0</v>
      </c>
    </row>
    <row r="121" spans="1:18" s="185" customFormat="1" ht="31.5" hidden="1" x14ac:dyDescent="0.2">
      <c r="A121" s="198"/>
      <c r="B121" s="216" t="s">
        <v>715</v>
      </c>
      <c r="C121" s="213" t="s">
        <v>401</v>
      </c>
      <c r="D121" s="650" t="s">
        <v>402</v>
      </c>
      <c r="E121" s="664" t="s">
        <v>403</v>
      </c>
      <c r="F121" s="201">
        <f t="shared" si="20"/>
        <v>0</v>
      </c>
      <c r="G121" s="220"/>
      <c r="H121" s="237"/>
      <c r="I121" s="203"/>
      <c r="J121" s="203"/>
      <c r="K121" s="217">
        <f t="shared" si="22"/>
        <v>0</v>
      </c>
      <c r="L121" s="207"/>
      <c r="M121" s="207"/>
      <c r="N121" s="207"/>
      <c r="O121" s="207"/>
      <c r="P121" s="207"/>
      <c r="Q121" s="207"/>
      <c r="R121" s="206">
        <f t="shared" si="23"/>
        <v>0</v>
      </c>
    </row>
    <row r="122" spans="1:18" s="185" customFormat="1" ht="15.75" hidden="1" x14ac:dyDescent="0.2">
      <c r="A122" s="198"/>
      <c r="B122" s="216"/>
      <c r="C122" s="213"/>
      <c r="D122" s="650"/>
      <c r="E122" s="665" t="s">
        <v>359</v>
      </c>
      <c r="F122" s="201">
        <f t="shared" si="20"/>
        <v>0</v>
      </c>
      <c r="G122" s="220"/>
      <c r="H122" s="237"/>
      <c r="I122" s="203"/>
      <c r="J122" s="203"/>
      <c r="K122" s="217">
        <f t="shared" si="22"/>
        <v>0</v>
      </c>
      <c r="L122" s="207"/>
      <c r="M122" s="207"/>
      <c r="N122" s="207"/>
      <c r="O122" s="207"/>
      <c r="P122" s="207"/>
      <c r="Q122" s="207"/>
      <c r="R122" s="206">
        <f t="shared" si="23"/>
        <v>0</v>
      </c>
    </row>
    <row r="123" spans="1:18" s="185" customFormat="1" ht="63" hidden="1" x14ac:dyDescent="0.2">
      <c r="A123" s="198"/>
      <c r="B123" s="216"/>
      <c r="C123" s="213"/>
      <c r="D123" s="650"/>
      <c r="E123" s="664" t="s">
        <v>404</v>
      </c>
      <c r="F123" s="201">
        <f t="shared" si="20"/>
        <v>0</v>
      </c>
      <c r="G123" s="220"/>
      <c r="H123" s="237"/>
      <c r="I123" s="203"/>
      <c r="J123" s="203"/>
      <c r="K123" s="217">
        <f t="shared" si="22"/>
        <v>0</v>
      </c>
      <c r="L123" s="207"/>
      <c r="M123" s="207"/>
      <c r="N123" s="207"/>
      <c r="O123" s="207"/>
      <c r="P123" s="207"/>
      <c r="Q123" s="207"/>
      <c r="R123" s="206">
        <f t="shared" si="23"/>
        <v>0</v>
      </c>
    </row>
    <row r="124" spans="1:18" s="185" customFormat="1" ht="31.5" hidden="1" x14ac:dyDescent="0.2">
      <c r="A124" s="198"/>
      <c r="B124" s="216" t="s">
        <v>722</v>
      </c>
      <c r="C124" s="213" t="s">
        <v>28</v>
      </c>
      <c r="D124" s="650" t="s">
        <v>29</v>
      </c>
      <c r="E124" s="664" t="s">
        <v>406</v>
      </c>
      <c r="F124" s="214">
        <f t="shared" si="20"/>
        <v>0</v>
      </c>
      <c r="G124" s="215"/>
      <c r="H124" s="215"/>
      <c r="I124" s="203"/>
      <c r="J124" s="203"/>
      <c r="K124" s="217">
        <f t="shared" si="22"/>
        <v>0</v>
      </c>
      <c r="L124" s="207"/>
      <c r="M124" s="207"/>
      <c r="N124" s="207"/>
      <c r="O124" s="207"/>
      <c r="P124" s="207"/>
      <c r="Q124" s="207"/>
      <c r="R124" s="206">
        <f t="shared" si="23"/>
        <v>0</v>
      </c>
    </row>
    <row r="125" spans="1:18" s="185" customFormat="1" ht="63" hidden="1" x14ac:dyDescent="0.2">
      <c r="A125" s="198"/>
      <c r="B125" s="216" t="s">
        <v>720</v>
      </c>
      <c r="C125" s="213" t="s">
        <v>34</v>
      </c>
      <c r="D125" s="650" t="s">
        <v>35</v>
      </c>
      <c r="E125" s="666" t="s">
        <v>407</v>
      </c>
      <c r="F125" s="214">
        <f t="shared" si="20"/>
        <v>0</v>
      </c>
      <c r="G125" s="215"/>
      <c r="H125" s="215"/>
      <c r="I125" s="203"/>
      <c r="J125" s="203"/>
      <c r="K125" s="217">
        <f t="shared" si="22"/>
        <v>0</v>
      </c>
      <c r="L125" s="207"/>
      <c r="M125" s="207"/>
      <c r="N125" s="207"/>
      <c r="O125" s="207"/>
      <c r="P125" s="207"/>
      <c r="Q125" s="207"/>
      <c r="R125" s="206">
        <f t="shared" si="23"/>
        <v>0</v>
      </c>
    </row>
    <row r="126" spans="1:18" s="185" customFormat="1" ht="15.75" hidden="1" x14ac:dyDescent="0.2">
      <c r="A126" s="198"/>
      <c r="B126" s="216"/>
      <c r="C126" s="213"/>
      <c r="D126" s="650"/>
      <c r="E126" s="667"/>
      <c r="F126" s="214"/>
      <c r="G126" s="218"/>
      <c r="H126" s="237"/>
      <c r="I126" s="203"/>
      <c r="J126" s="203"/>
      <c r="K126" s="217">
        <f t="shared" si="22"/>
        <v>0</v>
      </c>
      <c r="L126" s="207"/>
      <c r="M126" s="207"/>
      <c r="N126" s="207"/>
      <c r="O126" s="207"/>
      <c r="P126" s="207"/>
      <c r="Q126" s="207"/>
      <c r="R126" s="206">
        <f t="shared" si="23"/>
        <v>0</v>
      </c>
    </row>
    <row r="127" spans="1:18" s="185" customFormat="1" ht="31.5" hidden="1" x14ac:dyDescent="0.2">
      <c r="A127" s="198"/>
      <c r="B127" s="216" t="s">
        <v>721</v>
      </c>
      <c r="C127" s="213" t="s">
        <v>409</v>
      </c>
      <c r="D127" s="650" t="s">
        <v>39</v>
      </c>
      <c r="E127" s="666" t="s">
        <v>410</v>
      </c>
      <c r="F127" s="214">
        <f t="shared" si="20"/>
        <v>0</v>
      </c>
      <c r="G127" s="618"/>
      <c r="H127" s="203"/>
      <c r="I127" s="203"/>
      <c r="J127" s="203"/>
      <c r="K127" s="217">
        <f t="shared" si="22"/>
        <v>0</v>
      </c>
      <c r="L127" s="207"/>
      <c r="M127" s="207"/>
      <c r="N127" s="207"/>
      <c r="O127" s="207"/>
      <c r="P127" s="207"/>
      <c r="Q127" s="207"/>
      <c r="R127" s="206">
        <f t="shared" si="23"/>
        <v>0</v>
      </c>
    </row>
    <row r="128" spans="1:18" s="185" customFormat="1" ht="15.75" hidden="1" x14ac:dyDescent="0.2">
      <c r="A128" s="198"/>
      <c r="B128" s="216" t="s">
        <v>732</v>
      </c>
      <c r="C128" s="213" t="s">
        <v>42</v>
      </c>
      <c r="D128" s="650" t="s">
        <v>39</v>
      </c>
      <c r="E128" s="666" t="s">
        <v>43</v>
      </c>
      <c r="F128" s="214">
        <f t="shared" si="20"/>
        <v>0</v>
      </c>
      <c r="G128" s="215"/>
      <c r="H128" s="237"/>
      <c r="I128" s="203"/>
      <c r="J128" s="203"/>
      <c r="K128" s="217">
        <f t="shared" si="22"/>
        <v>0</v>
      </c>
      <c r="L128" s="207"/>
      <c r="M128" s="207"/>
      <c r="N128" s="207"/>
      <c r="O128" s="207"/>
      <c r="P128" s="207"/>
      <c r="Q128" s="207"/>
      <c r="R128" s="206">
        <f t="shared" si="23"/>
        <v>0</v>
      </c>
    </row>
    <row r="129" spans="1:19" s="185" customFormat="1" ht="68.25" customHeight="1" x14ac:dyDescent="0.2">
      <c r="A129" s="198"/>
      <c r="B129" s="216" t="s">
        <v>723</v>
      </c>
      <c r="C129" s="213" t="s">
        <v>47</v>
      </c>
      <c r="D129" s="650" t="s">
        <v>39</v>
      </c>
      <c r="E129" s="666" t="s">
        <v>48</v>
      </c>
      <c r="F129" s="214">
        <f t="shared" si="20"/>
        <v>-195000</v>
      </c>
      <c r="G129" s="215">
        <v>-195000</v>
      </c>
      <c r="H129" s="237"/>
      <c r="I129" s="203"/>
      <c r="J129" s="203"/>
      <c r="K129" s="217">
        <f t="shared" si="22"/>
        <v>0</v>
      </c>
      <c r="L129" s="207"/>
      <c r="M129" s="207"/>
      <c r="N129" s="207"/>
      <c r="O129" s="207"/>
      <c r="P129" s="207"/>
      <c r="Q129" s="207"/>
      <c r="R129" s="206">
        <f t="shared" si="23"/>
        <v>-195000</v>
      </c>
    </row>
    <row r="130" spans="1:19" s="185" customFormat="1" ht="78.75" hidden="1" x14ac:dyDescent="0.2">
      <c r="A130" s="198"/>
      <c r="B130" s="216" t="s">
        <v>724</v>
      </c>
      <c r="C130" s="213">
        <v>3160</v>
      </c>
      <c r="D130" s="650" t="s">
        <v>53</v>
      </c>
      <c r="E130" s="664" t="s">
        <v>54</v>
      </c>
      <c r="F130" s="214">
        <f t="shared" si="20"/>
        <v>0</v>
      </c>
      <c r="G130" s="215"/>
      <c r="H130" s="237"/>
      <c r="I130" s="203"/>
      <c r="J130" s="203"/>
      <c r="K130" s="217">
        <f t="shared" si="22"/>
        <v>0</v>
      </c>
      <c r="L130" s="207"/>
      <c r="M130" s="207"/>
      <c r="N130" s="207"/>
      <c r="O130" s="207"/>
      <c r="P130" s="207"/>
      <c r="Q130" s="207"/>
      <c r="R130" s="206">
        <f t="shared" si="23"/>
        <v>0</v>
      </c>
    </row>
    <row r="131" spans="1:19" s="185" customFormat="1" ht="31.5" hidden="1" x14ac:dyDescent="0.2">
      <c r="A131" s="198"/>
      <c r="B131" s="219" t="s">
        <v>725</v>
      </c>
      <c r="C131" s="213" t="s">
        <v>56</v>
      </c>
      <c r="D131" s="650" t="s">
        <v>57</v>
      </c>
      <c r="E131" s="666" t="s">
        <v>58</v>
      </c>
      <c r="F131" s="214">
        <f t="shared" si="20"/>
        <v>0</v>
      </c>
      <c r="G131" s="220"/>
      <c r="H131" s="237"/>
      <c r="I131" s="203"/>
      <c r="J131" s="203"/>
      <c r="K131" s="217">
        <f t="shared" si="22"/>
        <v>0</v>
      </c>
      <c r="L131" s="207"/>
      <c r="M131" s="207"/>
      <c r="N131" s="207"/>
      <c r="O131" s="207"/>
      <c r="P131" s="207"/>
      <c r="Q131" s="207"/>
      <c r="R131" s="206">
        <f t="shared" si="23"/>
        <v>0</v>
      </c>
    </row>
    <row r="132" spans="1:19" s="185" customFormat="1" ht="47.25" hidden="1" x14ac:dyDescent="0.2">
      <c r="A132" s="198"/>
      <c r="B132" s="221" t="s">
        <v>713</v>
      </c>
      <c r="C132" s="208">
        <v>3192</v>
      </c>
      <c r="D132" s="648">
        <v>1030</v>
      </c>
      <c r="E132" s="464" t="s">
        <v>412</v>
      </c>
      <c r="F132" s="201">
        <f t="shared" si="20"/>
        <v>0</v>
      </c>
      <c r="G132" s="203"/>
      <c r="H132" s="237"/>
      <c r="I132" s="203"/>
      <c r="J132" s="203"/>
      <c r="K132" s="217">
        <f t="shared" si="22"/>
        <v>0</v>
      </c>
      <c r="L132" s="207"/>
      <c r="M132" s="207"/>
      <c r="N132" s="207"/>
      <c r="O132" s="207"/>
      <c r="P132" s="207"/>
      <c r="Q132" s="207"/>
      <c r="R132" s="206">
        <f t="shared" si="23"/>
        <v>0</v>
      </c>
    </row>
    <row r="133" spans="1:19" s="185" customFormat="1" ht="15.75" hidden="1" x14ac:dyDescent="0.2">
      <c r="A133" s="198"/>
      <c r="B133" s="221" t="s">
        <v>726</v>
      </c>
      <c r="C133" s="208" t="s">
        <v>60</v>
      </c>
      <c r="D133" s="648" t="s">
        <v>61</v>
      </c>
      <c r="E133" s="464" t="s">
        <v>62</v>
      </c>
      <c r="F133" s="201">
        <f t="shared" si="20"/>
        <v>0</v>
      </c>
      <c r="G133" s="203"/>
      <c r="H133" s="215"/>
      <c r="I133" s="203"/>
      <c r="J133" s="203"/>
      <c r="K133" s="217">
        <f t="shared" si="22"/>
        <v>0</v>
      </c>
      <c r="L133" s="207"/>
      <c r="M133" s="207"/>
      <c r="N133" s="207"/>
      <c r="O133" s="207"/>
      <c r="P133" s="207"/>
      <c r="Q133" s="207"/>
      <c r="R133" s="206">
        <f t="shared" si="23"/>
        <v>0</v>
      </c>
    </row>
    <row r="134" spans="1:19" s="185" customFormat="1" ht="31.5" hidden="1" x14ac:dyDescent="0.2">
      <c r="A134" s="198"/>
      <c r="B134" s="221" t="s">
        <v>727</v>
      </c>
      <c r="C134" s="208" t="s">
        <v>64</v>
      </c>
      <c r="D134" s="648" t="s">
        <v>65</v>
      </c>
      <c r="E134" s="464" t="s">
        <v>66</v>
      </c>
      <c r="F134" s="201">
        <f t="shared" si="20"/>
        <v>0</v>
      </c>
      <c r="G134" s="203"/>
      <c r="H134" s="237"/>
      <c r="I134" s="203"/>
      <c r="J134" s="203"/>
      <c r="K134" s="217">
        <f t="shared" si="22"/>
        <v>0</v>
      </c>
      <c r="L134" s="207"/>
      <c r="M134" s="207"/>
      <c r="N134" s="207"/>
      <c r="O134" s="207"/>
      <c r="P134" s="207"/>
      <c r="Q134" s="207"/>
      <c r="R134" s="206">
        <f t="shared" si="23"/>
        <v>0</v>
      </c>
    </row>
    <row r="135" spans="1:19" s="185" customFormat="1" ht="15.75" hidden="1" x14ac:dyDescent="0.2">
      <c r="A135" s="198"/>
      <c r="B135" s="219"/>
      <c r="C135" s="213"/>
      <c r="D135" s="650"/>
      <c r="E135" s="666"/>
      <c r="F135" s="201">
        <f>G135+J135</f>
        <v>0</v>
      </c>
      <c r="G135" s="220"/>
      <c r="H135" s="237"/>
      <c r="I135" s="203"/>
      <c r="J135" s="203"/>
      <c r="K135" s="217"/>
      <c r="L135" s="207"/>
      <c r="M135" s="207"/>
      <c r="N135" s="207"/>
      <c r="O135" s="207"/>
      <c r="P135" s="207"/>
      <c r="Q135" s="207"/>
      <c r="R135" s="206">
        <f t="shared" si="23"/>
        <v>0</v>
      </c>
    </row>
    <row r="136" spans="1:19" s="185" customFormat="1" ht="31.5" hidden="1" x14ac:dyDescent="0.2">
      <c r="A136" s="198"/>
      <c r="B136" s="199" t="s">
        <v>161</v>
      </c>
      <c r="C136" s="208"/>
      <c r="D136" s="648"/>
      <c r="E136" s="661" t="s">
        <v>458</v>
      </c>
      <c r="F136" s="201">
        <f>F137</f>
        <v>0</v>
      </c>
      <c r="G136" s="201">
        <f t="shared" ref="G136:R136" si="24">G137</f>
        <v>0</v>
      </c>
      <c r="H136" s="201">
        <f t="shared" si="24"/>
        <v>0</v>
      </c>
      <c r="I136" s="201">
        <f t="shared" si="24"/>
        <v>0</v>
      </c>
      <c r="J136" s="201">
        <f t="shared" si="24"/>
        <v>0</v>
      </c>
      <c r="K136" s="201">
        <f t="shared" si="24"/>
        <v>0</v>
      </c>
      <c r="L136" s="201">
        <f t="shared" si="24"/>
        <v>0</v>
      </c>
      <c r="M136" s="201">
        <f t="shared" si="24"/>
        <v>0</v>
      </c>
      <c r="N136" s="201">
        <f t="shared" si="24"/>
        <v>0</v>
      </c>
      <c r="O136" s="201">
        <f t="shared" si="24"/>
        <v>0</v>
      </c>
      <c r="P136" s="201">
        <f t="shared" si="24"/>
        <v>0</v>
      </c>
      <c r="Q136" s="201">
        <f t="shared" si="24"/>
        <v>0</v>
      </c>
      <c r="R136" s="206">
        <f t="shared" si="24"/>
        <v>0</v>
      </c>
    </row>
    <row r="137" spans="1:19" s="185" customFormat="1" ht="31.5" hidden="1" x14ac:dyDescent="0.2">
      <c r="A137" s="198"/>
      <c r="B137" s="199" t="s">
        <v>460</v>
      </c>
      <c r="C137" s="200" t="s">
        <v>439</v>
      </c>
      <c r="D137" s="648"/>
      <c r="E137" s="661" t="s">
        <v>458</v>
      </c>
      <c r="F137" s="201">
        <f>F138+F141+F142+F143+F144+F145+F146+F147+F148</f>
        <v>0</v>
      </c>
      <c r="G137" s="201">
        <f>G138+G141+G142+G143+G144+G145+G146+G147+G148</f>
        <v>0</v>
      </c>
      <c r="H137" s="201">
        <f t="shared" ref="H137:R137" si="25">H138+H141+H142+H143+H144+H145+H146+H147+H148</f>
        <v>0</v>
      </c>
      <c r="I137" s="201">
        <f t="shared" si="25"/>
        <v>0</v>
      </c>
      <c r="J137" s="201">
        <f t="shared" si="25"/>
        <v>0</v>
      </c>
      <c r="K137" s="201">
        <f t="shared" si="25"/>
        <v>0</v>
      </c>
      <c r="L137" s="201">
        <f t="shared" si="25"/>
        <v>0</v>
      </c>
      <c r="M137" s="201">
        <f t="shared" si="25"/>
        <v>0</v>
      </c>
      <c r="N137" s="201">
        <f t="shared" si="25"/>
        <v>0</v>
      </c>
      <c r="O137" s="201">
        <f t="shared" si="25"/>
        <v>0</v>
      </c>
      <c r="P137" s="201">
        <f t="shared" si="25"/>
        <v>0</v>
      </c>
      <c r="Q137" s="201">
        <f t="shared" si="25"/>
        <v>0</v>
      </c>
      <c r="R137" s="206">
        <f t="shared" si="25"/>
        <v>0</v>
      </c>
    </row>
    <row r="138" spans="1:19" s="185" customFormat="1" ht="50.25" customHeight="1" x14ac:dyDescent="0.2">
      <c r="A138" s="198"/>
      <c r="B138" s="230" t="s">
        <v>459</v>
      </c>
      <c r="C138" s="231" t="s">
        <v>437</v>
      </c>
      <c r="D138" s="653" t="s">
        <v>19</v>
      </c>
      <c r="E138" s="675" t="s">
        <v>438</v>
      </c>
      <c r="F138" s="201">
        <f>G138+J138</f>
        <v>-1150</v>
      </c>
      <c r="G138" s="207">
        <v>-1150</v>
      </c>
      <c r="H138" s="217"/>
      <c r="I138" s="217"/>
      <c r="J138" s="217"/>
      <c r="K138" s="217"/>
      <c r="L138" s="217"/>
      <c r="M138" s="217"/>
      <c r="N138" s="217"/>
      <c r="O138" s="217"/>
      <c r="P138" s="217"/>
      <c r="Q138" s="217"/>
      <c r="R138" s="206">
        <f>F138+K138</f>
        <v>-1150</v>
      </c>
    </row>
    <row r="139" spans="1:19" s="185" customFormat="1" ht="15.75" hidden="1" x14ac:dyDescent="0.2">
      <c r="A139" s="198"/>
      <c r="B139" s="199"/>
      <c r="C139" s="200"/>
      <c r="D139" s="648"/>
      <c r="E139" s="661"/>
      <c r="F139" s="217"/>
      <c r="G139" s="217"/>
      <c r="H139" s="217"/>
      <c r="I139" s="217"/>
      <c r="J139" s="217"/>
      <c r="K139" s="217">
        <f t="shared" ref="K139:Q139" si="26">K144+K145+K141+K146+K142+K147+K148+K143+K140</f>
        <v>0</v>
      </c>
      <c r="L139" s="217">
        <f t="shared" si="26"/>
        <v>0</v>
      </c>
      <c r="M139" s="217">
        <f t="shared" si="26"/>
        <v>0</v>
      </c>
      <c r="N139" s="217">
        <f t="shared" si="26"/>
        <v>0</v>
      </c>
      <c r="O139" s="217">
        <f t="shared" si="26"/>
        <v>0</v>
      </c>
      <c r="P139" s="217">
        <f t="shared" si="26"/>
        <v>0</v>
      </c>
      <c r="Q139" s="217">
        <f t="shared" si="26"/>
        <v>0</v>
      </c>
      <c r="R139" s="678"/>
      <c r="S139" s="232"/>
    </row>
    <row r="140" spans="1:19" s="185" customFormat="1" ht="15.75" hidden="1" x14ac:dyDescent="0.2">
      <c r="A140" s="198"/>
      <c r="B140" s="230"/>
      <c r="C140" s="231"/>
      <c r="D140" s="653"/>
      <c r="E140" s="675"/>
      <c r="F140" s="201"/>
      <c r="G140" s="217"/>
      <c r="H140" s="217"/>
      <c r="I140" s="217"/>
      <c r="J140" s="217"/>
      <c r="K140" s="217"/>
      <c r="L140" s="217"/>
      <c r="M140" s="217"/>
      <c r="N140" s="217"/>
      <c r="O140" s="217"/>
      <c r="P140" s="217"/>
      <c r="Q140" s="217"/>
      <c r="R140" s="206"/>
      <c r="S140" s="232"/>
    </row>
    <row r="141" spans="1:19" s="185" customFormat="1" ht="15.75" hidden="1" x14ac:dyDescent="0.2">
      <c r="A141" s="198"/>
      <c r="B141" s="221" t="s">
        <v>163</v>
      </c>
      <c r="C141" s="225" t="s">
        <v>164</v>
      </c>
      <c r="D141" s="651" t="s">
        <v>151</v>
      </c>
      <c r="E141" s="464" t="s">
        <v>461</v>
      </c>
      <c r="F141" s="201">
        <f t="shared" ref="F141:F148" si="27">G141+J141</f>
        <v>0</v>
      </c>
      <c r="G141" s="203"/>
      <c r="H141" s="203"/>
      <c r="I141" s="203"/>
      <c r="J141" s="203"/>
      <c r="K141" s="217">
        <f t="shared" ref="K141:K154" si="28">N141+L141</f>
        <v>0</v>
      </c>
      <c r="L141" s="207"/>
      <c r="M141" s="207"/>
      <c r="N141" s="207"/>
      <c r="O141" s="207"/>
      <c r="P141" s="207"/>
      <c r="Q141" s="207"/>
      <c r="R141" s="206">
        <f t="shared" ref="R141:R157" si="29">F141+K141</f>
        <v>0</v>
      </c>
    </row>
    <row r="142" spans="1:19" s="185" customFormat="1" ht="15.75" hidden="1" x14ac:dyDescent="0.2">
      <c r="A142" s="198"/>
      <c r="B142" s="221" t="s">
        <v>462</v>
      </c>
      <c r="C142" s="225" t="s">
        <v>463</v>
      </c>
      <c r="D142" s="651" t="s">
        <v>464</v>
      </c>
      <c r="E142" s="464" t="s">
        <v>465</v>
      </c>
      <c r="F142" s="201">
        <f t="shared" si="27"/>
        <v>0</v>
      </c>
      <c r="G142" s="203"/>
      <c r="H142" s="203"/>
      <c r="I142" s="203"/>
      <c r="J142" s="201"/>
      <c r="K142" s="204">
        <f t="shared" si="28"/>
        <v>0</v>
      </c>
      <c r="L142" s="209"/>
      <c r="M142" s="209"/>
      <c r="N142" s="204"/>
      <c r="O142" s="204"/>
      <c r="P142" s="209">
        <f>O142</f>
        <v>0</v>
      </c>
      <c r="Q142" s="209"/>
      <c r="R142" s="206">
        <f t="shared" si="29"/>
        <v>0</v>
      </c>
    </row>
    <row r="143" spans="1:19" s="185" customFormat="1" ht="25.5" customHeight="1" x14ac:dyDescent="0.2">
      <c r="A143" s="198"/>
      <c r="B143" s="221" t="s">
        <v>466</v>
      </c>
      <c r="C143" s="225" t="s">
        <v>467</v>
      </c>
      <c r="D143" s="651" t="s">
        <v>464</v>
      </c>
      <c r="E143" s="464" t="s">
        <v>468</v>
      </c>
      <c r="F143" s="201">
        <f t="shared" si="27"/>
        <v>40624</v>
      </c>
      <c r="G143" s="203">
        <v>40624</v>
      </c>
      <c r="H143" s="203">
        <v>33298</v>
      </c>
      <c r="I143" s="203"/>
      <c r="J143" s="201"/>
      <c r="K143" s="217">
        <f t="shared" si="28"/>
        <v>0</v>
      </c>
      <c r="L143" s="207"/>
      <c r="M143" s="207"/>
      <c r="N143" s="217"/>
      <c r="O143" s="204"/>
      <c r="P143" s="209"/>
      <c r="Q143" s="209"/>
      <c r="R143" s="206">
        <f t="shared" si="29"/>
        <v>40624</v>
      </c>
    </row>
    <row r="144" spans="1:19" s="185" customFormat="1" ht="47.25" x14ac:dyDescent="0.2">
      <c r="A144" s="198"/>
      <c r="B144" s="221" t="s">
        <v>469</v>
      </c>
      <c r="C144" s="225" t="s">
        <v>470</v>
      </c>
      <c r="D144" s="651" t="s">
        <v>471</v>
      </c>
      <c r="E144" s="464" t="s">
        <v>472</v>
      </c>
      <c r="F144" s="201">
        <f t="shared" si="27"/>
        <v>-40624</v>
      </c>
      <c r="G144" s="203">
        <v>-40624</v>
      </c>
      <c r="H144" s="203">
        <v>-33298</v>
      </c>
      <c r="I144" s="203"/>
      <c r="J144" s="203"/>
      <c r="K144" s="217">
        <f t="shared" si="28"/>
        <v>0</v>
      </c>
      <c r="L144" s="207"/>
      <c r="M144" s="207"/>
      <c r="N144" s="207"/>
      <c r="O144" s="209"/>
      <c r="P144" s="209"/>
      <c r="Q144" s="209"/>
      <c r="R144" s="206">
        <f t="shared" si="29"/>
        <v>-40624</v>
      </c>
    </row>
    <row r="145" spans="1:19" s="185" customFormat="1" ht="37.5" customHeight="1" x14ac:dyDescent="0.2">
      <c r="A145" s="198"/>
      <c r="B145" s="221" t="s">
        <v>473</v>
      </c>
      <c r="C145" s="225" t="s">
        <v>474</v>
      </c>
      <c r="D145" s="651" t="s">
        <v>168</v>
      </c>
      <c r="E145" s="464" t="s">
        <v>475</v>
      </c>
      <c r="F145" s="201">
        <f t="shared" si="27"/>
        <v>1150</v>
      </c>
      <c r="G145" s="203">
        <v>1150</v>
      </c>
      <c r="H145" s="203"/>
      <c r="I145" s="203"/>
      <c r="J145" s="203"/>
      <c r="K145" s="217">
        <f t="shared" si="28"/>
        <v>0</v>
      </c>
      <c r="L145" s="209"/>
      <c r="M145" s="209"/>
      <c r="N145" s="209"/>
      <c r="O145" s="209"/>
      <c r="P145" s="209">
        <f>O145</f>
        <v>0</v>
      </c>
      <c r="Q145" s="209">
        <f>O145</f>
        <v>0</v>
      </c>
      <c r="R145" s="206">
        <f t="shared" si="29"/>
        <v>1150</v>
      </c>
    </row>
    <row r="146" spans="1:19" s="185" customFormat="1" ht="15.75" hidden="1" x14ac:dyDescent="0.2">
      <c r="A146" s="198"/>
      <c r="B146" s="221" t="s">
        <v>166</v>
      </c>
      <c r="C146" s="225" t="s">
        <v>167</v>
      </c>
      <c r="D146" s="651" t="s">
        <v>168</v>
      </c>
      <c r="E146" s="464" t="s">
        <v>169</v>
      </c>
      <c r="F146" s="201">
        <f t="shared" si="27"/>
        <v>0</v>
      </c>
      <c r="G146" s="203"/>
      <c r="H146" s="203"/>
      <c r="I146" s="203"/>
      <c r="J146" s="201"/>
      <c r="K146" s="217">
        <f t="shared" si="28"/>
        <v>0</v>
      </c>
      <c r="L146" s="204"/>
      <c r="M146" s="204"/>
      <c r="N146" s="204"/>
      <c r="O146" s="204"/>
      <c r="P146" s="204"/>
      <c r="Q146" s="204"/>
      <c r="R146" s="206">
        <f t="shared" si="29"/>
        <v>0</v>
      </c>
    </row>
    <row r="147" spans="1:19" s="185" customFormat="1" ht="31.5" hidden="1" x14ac:dyDescent="0.2">
      <c r="A147" s="198"/>
      <c r="B147" s="221" t="s">
        <v>170</v>
      </c>
      <c r="C147" s="225" t="s">
        <v>171</v>
      </c>
      <c r="D147" s="651" t="s">
        <v>172</v>
      </c>
      <c r="E147" s="464" t="s">
        <v>476</v>
      </c>
      <c r="F147" s="201">
        <f t="shared" si="27"/>
        <v>0</v>
      </c>
      <c r="G147" s="203"/>
      <c r="H147" s="203"/>
      <c r="I147" s="203"/>
      <c r="J147" s="203"/>
      <c r="K147" s="217">
        <f t="shared" si="28"/>
        <v>0</v>
      </c>
      <c r="L147" s="209"/>
      <c r="M147" s="209"/>
      <c r="N147" s="209"/>
      <c r="O147" s="209"/>
      <c r="P147" s="209"/>
      <c r="Q147" s="209"/>
      <c r="R147" s="206">
        <f t="shared" si="29"/>
        <v>0</v>
      </c>
    </row>
    <row r="148" spans="1:19" s="185" customFormat="1" ht="31.5" hidden="1" x14ac:dyDescent="0.2">
      <c r="A148" s="198"/>
      <c r="B148" s="224" t="s">
        <v>176</v>
      </c>
      <c r="C148" s="231" t="s">
        <v>177</v>
      </c>
      <c r="D148" s="653" t="s">
        <v>178</v>
      </c>
      <c r="E148" s="675" t="s">
        <v>179</v>
      </c>
      <c r="F148" s="238">
        <f t="shared" si="27"/>
        <v>0</v>
      </c>
      <c r="G148" s="222"/>
      <c r="H148" s="222"/>
      <c r="I148" s="222"/>
      <c r="J148" s="222"/>
      <c r="K148" s="217">
        <f t="shared" si="28"/>
        <v>0</v>
      </c>
      <c r="L148" s="239"/>
      <c r="M148" s="239"/>
      <c r="N148" s="239"/>
      <c r="O148" s="239"/>
      <c r="P148" s="239"/>
      <c r="Q148" s="239"/>
      <c r="R148" s="206">
        <f t="shared" si="29"/>
        <v>0</v>
      </c>
    </row>
    <row r="149" spans="1:19" s="185" customFormat="1" ht="36" customHeight="1" x14ac:dyDescent="0.2">
      <c r="A149" s="198"/>
      <c r="B149" s="240" t="s">
        <v>477</v>
      </c>
      <c r="C149" s="241"/>
      <c r="D149" s="656"/>
      <c r="E149" s="679" t="s">
        <v>478</v>
      </c>
      <c r="F149" s="238">
        <f>F150</f>
        <v>0</v>
      </c>
      <c r="G149" s="238">
        <f t="shared" ref="G149:Q149" si="30">G150</f>
        <v>0</v>
      </c>
      <c r="H149" s="238">
        <f t="shared" si="30"/>
        <v>0</v>
      </c>
      <c r="I149" s="238">
        <f t="shared" si="30"/>
        <v>0</v>
      </c>
      <c r="J149" s="238">
        <f t="shared" si="30"/>
        <v>0</v>
      </c>
      <c r="K149" s="238">
        <f t="shared" si="30"/>
        <v>112376</v>
      </c>
      <c r="L149" s="238">
        <f t="shared" si="30"/>
        <v>112376</v>
      </c>
      <c r="M149" s="238">
        <f t="shared" si="30"/>
        <v>0</v>
      </c>
      <c r="N149" s="238">
        <f t="shared" si="30"/>
        <v>0</v>
      </c>
      <c r="O149" s="238">
        <f t="shared" si="30"/>
        <v>0</v>
      </c>
      <c r="P149" s="238">
        <f t="shared" si="30"/>
        <v>0</v>
      </c>
      <c r="Q149" s="238">
        <f t="shared" si="30"/>
        <v>112376</v>
      </c>
      <c r="R149" s="206">
        <f t="shared" si="29"/>
        <v>112376</v>
      </c>
    </row>
    <row r="150" spans="1:19" s="185" customFormat="1" ht="39.75" customHeight="1" x14ac:dyDescent="0.2">
      <c r="A150" s="198"/>
      <c r="B150" s="240" t="s">
        <v>479</v>
      </c>
      <c r="C150" s="241"/>
      <c r="D150" s="656"/>
      <c r="E150" s="679" t="s">
        <v>478</v>
      </c>
      <c r="F150" s="238">
        <f>F151+F154+F152+F153</f>
        <v>0</v>
      </c>
      <c r="G150" s="238">
        <f t="shared" ref="G150:R150" si="31">G151+G154+G152+G153</f>
        <v>0</v>
      </c>
      <c r="H150" s="238">
        <f t="shared" si="31"/>
        <v>0</v>
      </c>
      <c r="I150" s="238">
        <f t="shared" si="31"/>
        <v>0</v>
      </c>
      <c r="J150" s="238">
        <f t="shared" si="31"/>
        <v>0</v>
      </c>
      <c r="K150" s="238">
        <f t="shared" si="31"/>
        <v>112376</v>
      </c>
      <c r="L150" s="238">
        <f t="shared" si="31"/>
        <v>112376</v>
      </c>
      <c r="M150" s="238">
        <f t="shared" si="31"/>
        <v>0</v>
      </c>
      <c r="N150" s="238">
        <f t="shared" si="31"/>
        <v>0</v>
      </c>
      <c r="O150" s="238">
        <f t="shared" si="31"/>
        <v>0</v>
      </c>
      <c r="P150" s="238">
        <f t="shared" si="31"/>
        <v>0</v>
      </c>
      <c r="Q150" s="238">
        <f t="shared" si="31"/>
        <v>112376</v>
      </c>
      <c r="R150" s="238">
        <f t="shared" si="31"/>
        <v>112376</v>
      </c>
    </row>
    <row r="151" spans="1:19" s="185" customFormat="1" ht="47.25" hidden="1" x14ac:dyDescent="0.2">
      <c r="A151" s="198"/>
      <c r="B151" s="224" t="s">
        <v>480</v>
      </c>
      <c r="C151" s="231" t="s">
        <v>437</v>
      </c>
      <c r="D151" s="653" t="s">
        <v>19</v>
      </c>
      <c r="E151" s="675" t="s">
        <v>438</v>
      </c>
      <c r="F151" s="201">
        <f>G151+J151</f>
        <v>0</v>
      </c>
      <c r="G151" s="222"/>
      <c r="H151" s="222"/>
      <c r="I151" s="222"/>
      <c r="J151" s="222"/>
      <c r="K151" s="217">
        <f t="shared" si="28"/>
        <v>0</v>
      </c>
      <c r="L151" s="239"/>
      <c r="M151" s="239"/>
      <c r="N151" s="239"/>
      <c r="O151" s="239"/>
      <c r="P151" s="239"/>
      <c r="Q151" s="239"/>
      <c r="R151" s="206">
        <f t="shared" si="29"/>
        <v>0</v>
      </c>
    </row>
    <row r="152" spans="1:19" s="185" customFormat="1" ht="15.75" hidden="1" x14ac:dyDescent="0.2">
      <c r="A152" s="198"/>
      <c r="B152" s="221" t="s">
        <v>481</v>
      </c>
      <c r="C152" s="208" t="s">
        <v>482</v>
      </c>
      <c r="D152" s="648" t="s">
        <v>25</v>
      </c>
      <c r="E152" s="464" t="s">
        <v>483</v>
      </c>
      <c r="F152" s="201">
        <f>G152+J152</f>
        <v>0</v>
      </c>
      <c r="G152" s="222"/>
      <c r="H152" s="222"/>
      <c r="I152" s="222"/>
      <c r="J152" s="222"/>
      <c r="K152" s="242">
        <f t="shared" si="28"/>
        <v>0</v>
      </c>
      <c r="L152" s="239"/>
      <c r="M152" s="239"/>
      <c r="N152" s="239"/>
      <c r="O152" s="239"/>
      <c r="P152" s="239"/>
      <c r="Q152" s="239"/>
      <c r="R152" s="206">
        <f t="shared" si="29"/>
        <v>0</v>
      </c>
    </row>
    <row r="153" spans="1:19" s="185" customFormat="1" ht="24.75" customHeight="1" thickBot="1" x14ac:dyDescent="0.25">
      <c r="A153" s="198"/>
      <c r="B153" s="224" t="s">
        <v>748</v>
      </c>
      <c r="C153" s="231" t="s">
        <v>750</v>
      </c>
      <c r="D153" s="648" t="s">
        <v>24</v>
      </c>
      <c r="E153" s="680" t="s">
        <v>342</v>
      </c>
      <c r="F153" s="201">
        <f>G153+J153</f>
        <v>0</v>
      </c>
      <c r="G153" s="222"/>
      <c r="H153" s="222"/>
      <c r="I153" s="222"/>
      <c r="J153" s="222"/>
      <c r="K153" s="625">
        <f t="shared" si="28"/>
        <v>112376</v>
      </c>
      <c r="L153" s="222">
        <v>112376</v>
      </c>
      <c r="M153" s="239"/>
      <c r="N153" s="239"/>
      <c r="O153" s="239"/>
      <c r="P153" s="239"/>
      <c r="Q153" s="222">
        <v>112376</v>
      </c>
      <c r="R153" s="206">
        <f t="shared" si="29"/>
        <v>112376</v>
      </c>
    </row>
    <row r="154" spans="1:19" s="185" customFormat="1" ht="48" hidden="1" thickBot="1" x14ac:dyDescent="0.25">
      <c r="A154" s="198"/>
      <c r="B154" s="221" t="s">
        <v>747</v>
      </c>
      <c r="C154" s="208" t="s">
        <v>733</v>
      </c>
      <c r="D154" s="648" t="s">
        <v>24</v>
      </c>
      <c r="E154" s="672" t="s">
        <v>737</v>
      </c>
      <c r="F154" s="201">
        <f>G154+J154</f>
        <v>0</v>
      </c>
      <c r="G154" s="222"/>
      <c r="H154" s="222"/>
      <c r="I154" s="222"/>
      <c r="J154" s="222"/>
      <c r="K154" s="625">
        <f t="shared" si="28"/>
        <v>0</v>
      </c>
      <c r="L154" s="222"/>
      <c r="M154" s="239"/>
      <c r="N154" s="239"/>
      <c r="O154" s="239"/>
      <c r="P154" s="239"/>
      <c r="Q154" s="222"/>
      <c r="R154" s="206">
        <f t="shared" si="29"/>
        <v>0</v>
      </c>
    </row>
    <row r="155" spans="1:19" s="185" customFormat="1" ht="33.75" customHeight="1" thickBot="1" x14ac:dyDescent="0.25">
      <c r="A155" s="198"/>
      <c r="B155" s="243" t="s">
        <v>484</v>
      </c>
      <c r="C155" s="244" t="s">
        <v>484</v>
      </c>
      <c r="D155" s="657" t="s">
        <v>484</v>
      </c>
      <c r="E155" s="681" t="s">
        <v>485</v>
      </c>
      <c r="F155" s="619">
        <f t="shared" ref="F155:R155" si="32">F13+F88+F136+F149+F113</f>
        <v>-58876</v>
      </c>
      <c r="G155" s="619">
        <f t="shared" si="32"/>
        <v>-58876</v>
      </c>
      <c r="H155" s="619">
        <f t="shared" si="32"/>
        <v>0</v>
      </c>
      <c r="I155" s="245">
        <f t="shared" si="32"/>
        <v>105635</v>
      </c>
      <c r="J155" s="245">
        <f t="shared" si="32"/>
        <v>0</v>
      </c>
      <c r="K155" s="619">
        <f t="shared" si="32"/>
        <v>211876</v>
      </c>
      <c r="L155" s="619">
        <f t="shared" si="32"/>
        <v>211876</v>
      </c>
      <c r="M155" s="619">
        <f t="shared" si="32"/>
        <v>0</v>
      </c>
      <c r="N155" s="619">
        <f t="shared" si="32"/>
        <v>0</v>
      </c>
      <c r="O155" s="619">
        <f t="shared" si="32"/>
        <v>0</v>
      </c>
      <c r="P155" s="619">
        <f t="shared" si="32"/>
        <v>0</v>
      </c>
      <c r="Q155" s="619">
        <f t="shared" si="32"/>
        <v>211876</v>
      </c>
      <c r="R155" s="682">
        <f t="shared" si="32"/>
        <v>153000</v>
      </c>
      <c r="S155" s="232">
        <f>R89/R155*100</f>
        <v>-73.448366013071904</v>
      </c>
    </row>
    <row r="156" spans="1:19" s="185" customFormat="1" ht="32.25" thickBot="1" x14ac:dyDescent="0.25">
      <c r="A156" s="198"/>
      <c r="B156" s="243" t="s">
        <v>484</v>
      </c>
      <c r="C156" s="244" t="s">
        <v>484</v>
      </c>
      <c r="D156" s="657" t="s">
        <v>484</v>
      </c>
      <c r="E156" s="681" t="s">
        <v>486</v>
      </c>
      <c r="F156" s="619">
        <f>F90+F16</f>
        <v>0</v>
      </c>
      <c r="G156" s="619">
        <f>G90+G16</f>
        <v>0</v>
      </c>
      <c r="H156" s="619">
        <f t="shared" ref="H156:Q156" si="33">H97</f>
        <v>0</v>
      </c>
      <c r="I156" s="619">
        <f t="shared" si="33"/>
        <v>0</v>
      </c>
      <c r="J156" s="619">
        <f t="shared" si="33"/>
        <v>0</v>
      </c>
      <c r="K156" s="619">
        <f t="shared" si="33"/>
        <v>0</v>
      </c>
      <c r="L156" s="619">
        <f t="shared" si="33"/>
        <v>0</v>
      </c>
      <c r="M156" s="619">
        <f t="shared" si="33"/>
        <v>0</v>
      </c>
      <c r="N156" s="619">
        <f t="shared" si="33"/>
        <v>0</v>
      </c>
      <c r="O156" s="619">
        <f t="shared" si="33"/>
        <v>0</v>
      </c>
      <c r="P156" s="619">
        <f t="shared" si="33"/>
        <v>0</v>
      </c>
      <c r="Q156" s="619">
        <f t="shared" si="33"/>
        <v>0</v>
      </c>
      <c r="R156" s="206">
        <f t="shared" si="29"/>
        <v>0</v>
      </c>
      <c r="S156" s="232"/>
    </row>
    <row r="157" spans="1:19" s="185" customFormat="1" ht="32.25" thickBot="1" x14ac:dyDescent="0.25">
      <c r="A157" s="198"/>
      <c r="B157" s="243" t="s">
        <v>484</v>
      </c>
      <c r="C157" s="244" t="s">
        <v>484</v>
      </c>
      <c r="D157" s="657" t="s">
        <v>484</v>
      </c>
      <c r="E157" s="681" t="s">
        <v>487</v>
      </c>
      <c r="F157" s="619">
        <f>F115+F91</f>
        <v>0</v>
      </c>
      <c r="G157" s="619">
        <f>G115+G91</f>
        <v>0</v>
      </c>
      <c r="H157" s="619">
        <f t="shared" ref="H157:Q157" si="34">H115+H91</f>
        <v>0</v>
      </c>
      <c r="I157" s="619">
        <f t="shared" si="34"/>
        <v>0</v>
      </c>
      <c r="J157" s="619">
        <f t="shared" si="34"/>
        <v>0</v>
      </c>
      <c r="K157" s="619">
        <f t="shared" si="34"/>
        <v>0</v>
      </c>
      <c r="L157" s="619">
        <f t="shared" si="34"/>
        <v>0</v>
      </c>
      <c r="M157" s="619">
        <f t="shared" si="34"/>
        <v>0</v>
      </c>
      <c r="N157" s="619">
        <f t="shared" si="34"/>
        <v>0</v>
      </c>
      <c r="O157" s="619">
        <f t="shared" si="34"/>
        <v>0</v>
      </c>
      <c r="P157" s="619">
        <f t="shared" si="34"/>
        <v>0</v>
      </c>
      <c r="Q157" s="619">
        <f t="shared" si="34"/>
        <v>0</v>
      </c>
      <c r="R157" s="206">
        <f t="shared" si="29"/>
        <v>0</v>
      </c>
    </row>
    <row r="158" spans="1:19" s="185" customFormat="1" ht="51.75" customHeight="1" x14ac:dyDescent="0.25">
      <c r="A158" s="198"/>
      <c r="B158" s="172"/>
      <c r="C158" s="198"/>
      <c r="D158" s="198"/>
      <c r="E158" s="588" t="s">
        <v>692</v>
      </c>
      <c r="F158" s="246"/>
      <c r="G158" s="688"/>
      <c r="H158" s="247"/>
      <c r="I158" s="247"/>
      <c r="J158" s="247"/>
      <c r="K158" s="248"/>
      <c r="L158" s="248"/>
      <c r="M158" s="248"/>
      <c r="N158" s="248"/>
      <c r="O158" s="587"/>
      <c r="Q158" s="588" t="s">
        <v>691</v>
      </c>
      <c r="R158" s="249"/>
    </row>
    <row r="159" spans="1:19" x14ac:dyDescent="0.2">
      <c r="F159" s="250"/>
      <c r="G159" s="250"/>
      <c r="K159" s="251"/>
      <c r="R159" s="626"/>
    </row>
    <row r="160" spans="1:19" x14ac:dyDescent="0.2">
      <c r="F160" s="250"/>
      <c r="K160" s="251"/>
    </row>
  </sheetData>
  <mergeCells count="17">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 ref="G10:G11"/>
    <mergeCell ref="H10:I10"/>
  </mergeCells>
  <printOptions horizontalCentered="1"/>
  <pageMargins left="0.78740157480314965" right="0.78740157480314965" top="1.1811023622047245" bottom="0.78740157480314965" header="0.51181102362204722" footer="0.31496062992125984"/>
  <pageSetup paperSize="9" scale="62" fitToHeight="5" orientation="landscape" horizontalDpi="300" verticalDpi="300" r:id="rId1"/>
  <headerFooter alignWithMargins="0">
    <oddFooter>&amp;R&amp;P</oddFoot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2.75" x14ac:dyDescent="0.2"/>
  <cols>
    <col min="1" max="1" width="20.42578125" style="253" customWidth="1"/>
    <col min="2" max="2" width="23.28515625" style="253" customWidth="1"/>
    <col min="3" max="3" width="17.42578125" style="253" customWidth="1"/>
    <col min="4" max="6" width="33" style="253" customWidth="1"/>
    <col min="7" max="256" width="9.140625" style="253"/>
    <col min="257" max="257" width="20.42578125" style="253" customWidth="1"/>
    <col min="258" max="258" width="23.28515625" style="253" customWidth="1"/>
    <col min="259" max="259" width="17.42578125" style="253" customWidth="1"/>
    <col min="260" max="262" width="33" style="253" customWidth="1"/>
    <col min="263" max="512" width="9.140625" style="253"/>
    <col min="513" max="513" width="20.42578125" style="253" customWidth="1"/>
    <col min="514" max="514" width="23.28515625" style="253" customWidth="1"/>
    <col min="515" max="515" width="17.42578125" style="253" customWidth="1"/>
    <col min="516" max="518" width="33" style="253" customWidth="1"/>
    <col min="519" max="768" width="9.140625" style="253"/>
    <col min="769" max="769" width="20.42578125" style="253" customWidth="1"/>
    <col min="770" max="770" width="23.28515625" style="253" customWidth="1"/>
    <col min="771" max="771" width="17.42578125" style="253" customWidth="1"/>
    <col min="772" max="774" width="33" style="253" customWidth="1"/>
    <col min="775" max="1024" width="9.140625" style="253"/>
    <col min="1025" max="1025" width="20.42578125" style="253" customWidth="1"/>
    <col min="1026" max="1026" width="23.28515625" style="253" customWidth="1"/>
    <col min="1027" max="1027" width="17.42578125" style="253" customWidth="1"/>
    <col min="1028" max="1030" width="33" style="253" customWidth="1"/>
    <col min="1031" max="1280" width="9.140625" style="253"/>
    <col min="1281" max="1281" width="20.42578125" style="253" customWidth="1"/>
    <col min="1282" max="1282" width="23.28515625" style="253" customWidth="1"/>
    <col min="1283" max="1283" width="17.42578125" style="253" customWidth="1"/>
    <col min="1284" max="1286" width="33" style="253" customWidth="1"/>
    <col min="1287" max="1536" width="9.140625" style="253"/>
    <col min="1537" max="1537" width="20.42578125" style="253" customWidth="1"/>
    <col min="1538" max="1538" width="23.28515625" style="253" customWidth="1"/>
    <col min="1539" max="1539" width="17.42578125" style="253" customWidth="1"/>
    <col min="1540" max="1542" width="33" style="253" customWidth="1"/>
    <col min="1543" max="1792" width="9.140625" style="253"/>
    <col min="1793" max="1793" width="20.42578125" style="253" customWidth="1"/>
    <col min="1794" max="1794" width="23.28515625" style="253" customWidth="1"/>
    <col min="1795" max="1795" width="17.42578125" style="253" customWidth="1"/>
    <col min="1796" max="1798" width="33" style="253" customWidth="1"/>
    <col min="1799" max="2048" width="9.140625" style="253"/>
    <col min="2049" max="2049" width="20.42578125" style="253" customWidth="1"/>
    <col min="2050" max="2050" width="23.28515625" style="253" customWidth="1"/>
    <col min="2051" max="2051" width="17.42578125" style="253" customWidth="1"/>
    <col min="2052" max="2054" width="33" style="253" customWidth="1"/>
    <col min="2055" max="2304" width="9.140625" style="253"/>
    <col min="2305" max="2305" width="20.42578125" style="253" customWidth="1"/>
    <col min="2306" max="2306" width="23.28515625" style="253" customWidth="1"/>
    <col min="2307" max="2307" width="17.42578125" style="253" customWidth="1"/>
    <col min="2308" max="2310" width="33" style="253" customWidth="1"/>
    <col min="2311" max="2560" width="9.140625" style="253"/>
    <col min="2561" max="2561" width="20.42578125" style="253" customWidth="1"/>
    <col min="2562" max="2562" width="23.28515625" style="253" customWidth="1"/>
    <col min="2563" max="2563" width="17.42578125" style="253" customWidth="1"/>
    <col min="2564" max="2566" width="33" style="253" customWidth="1"/>
    <col min="2567" max="2816" width="9.140625" style="253"/>
    <col min="2817" max="2817" width="20.42578125" style="253" customWidth="1"/>
    <col min="2818" max="2818" width="23.28515625" style="253" customWidth="1"/>
    <col min="2819" max="2819" width="17.42578125" style="253" customWidth="1"/>
    <col min="2820" max="2822" width="33" style="253" customWidth="1"/>
    <col min="2823" max="3072" width="9.140625" style="253"/>
    <col min="3073" max="3073" width="20.42578125" style="253" customWidth="1"/>
    <col min="3074" max="3074" width="23.28515625" style="253" customWidth="1"/>
    <col min="3075" max="3075" width="17.42578125" style="253" customWidth="1"/>
    <col min="3076" max="3078" width="33" style="253" customWidth="1"/>
    <col min="3079" max="3328" width="9.140625" style="253"/>
    <col min="3329" max="3329" width="20.42578125" style="253" customWidth="1"/>
    <col min="3330" max="3330" width="23.28515625" style="253" customWidth="1"/>
    <col min="3331" max="3331" width="17.42578125" style="253" customWidth="1"/>
    <col min="3332" max="3334" width="33" style="253" customWidth="1"/>
    <col min="3335" max="3584" width="9.140625" style="253"/>
    <col min="3585" max="3585" width="20.42578125" style="253" customWidth="1"/>
    <col min="3586" max="3586" width="23.28515625" style="253" customWidth="1"/>
    <col min="3587" max="3587" width="17.42578125" style="253" customWidth="1"/>
    <col min="3588" max="3590" width="33" style="253" customWidth="1"/>
    <col min="3591" max="3840" width="9.140625" style="253"/>
    <col min="3841" max="3841" width="20.42578125" style="253" customWidth="1"/>
    <col min="3842" max="3842" width="23.28515625" style="253" customWidth="1"/>
    <col min="3843" max="3843" width="17.42578125" style="253" customWidth="1"/>
    <col min="3844" max="3846" width="33" style="253" customWidth="1"/>
    <col min="3847" max="4096" width="9.140625" style="253"/>
    <col min="4097" max="4097" width="20.42578125" style="253" customWidth="1"/>
    <col min="4098" max="4098" width="23.28515625" style="253" customWidth="1"/>
    <col min="4099" max="4099" width="17.42578125" style="253" customWidth="1"/>
    <col min="4100" max="4102" width="33" style="253" customWidth="1"/>
    <col min="4103" max="4352" width="9.140625" style="253"/>
    <col min="4353" max="4353" width="20.42578125" style="253" customWidth="1"/>
    <col min="4354" max="4354" width="23.28515625" style="253" customWidth="1"/>
    <col min="4355" max="4355" width="17.42578125" style="253" customWidth="1"/>
    <col min="4356" max="4358" width="33" style="253" customWidth="1"/>
    <col min="4359" max="4608" width="9.140625" style="253"/>
    <col min="4609" max="4609" width="20.42578125" style="253" customWidth="1"/>
    <col min="4610" max="4610" width="23.28515625" style="253" customWidth="1"/>
    <col min="4611" max="4611" width="17.42578125" style="253" customWidth="1"/>
    <col min="4612" max="4614" width="33" style="253" customWidth="1"/>
    <col min="4615" max="4864" width="9.140625" style="253"/>
    <col min="4865" max="4865" width="20.42578125" style="253" customWidth="1"/>
    <col min="4866" max="4866" width="23.28515625" style="253" customWidth="1"/>
    <col min="4867" max="4867" width="17.42578125" style="253" customWidth="1"/>
    <col min="4868" max="4870" width="33" style="253" customWidth="1"/>
    <col min="4871" max="5120" width="9.140625" style="253"/>
    <col min="5121" max="5121" width="20.42578125" style="253" customWidth="1"/>
    <col min="5122" max="5122" width="23.28515625" style="253" customWidth="1"/>
    <col min="5123" max="5123" width="17.42578125" style="253" customWidth="1"/>
    <col min="5124" max="5126" width="33" style="253" customWidth="1"/>
    <col min="5127" max="5376" width="9.140625" style="253"/>
    <col min="5377" max="5377" width="20.42578125" style="253" customWidth="1"/>
    <col min="5378" max="5378" width="23.28515625" style="253" customWidth="1"/>
    <col min="5379" max="5379" width="17.42578125" style="253" customWidth="1"/>
    <col min="5380" max="5382" width="33" style="253" customWidth="1"/>
    <col min="5383" max="5632" width="9.140625" style="253"/>
    <col min="5633" max="5633" width="20.42578125" style="253" customWidth="1"/>
    <col min="5634" max="5634" width="23.28515625" style="253" customWidth="1"/>
    <col min="5635" max="5635" width="17.42578125" style="253" customWidth="1"/>
    <col min="5636" max="5638" width="33" style="253" customWidth="1"/>
    <col min="5639" max="5888" width="9.140625" style="253"/>
    <col min="5889" max="5889" width="20.42578125" style="253" customWidth="1"/>
    <col min="5890" max="5890" width="23.28515625" style="253" customWidth="1"/>
    <col min="5891" max="5891" width="17.42578125" style="253" customWidth="1"/>
    <col min="5892" max="5894" width="33" style="253" customWidth="1"/>
    <col min="5895" max="6144" width="9.140625" style="253"/>
    <col min="6145" max="6145" width="20.42578125" style="253" customWidth="1"/>
    <col min="6146" max="6146" width="23.28515625" style="253" customWidth="1"/>
    <col min="6147" max="6147" width="17.42578125" style="253" customWidth="1"/>
    <col min="6148" max="6150" width="33" style="253" customWidth="1"/>
    <col min="6151" max="6400" width="9.140625" style="253"/>
    <col min="6401" max="6401" width="20.42578125" style="253" customWidth="1"/>
    <col min="6402" max="6402" width="23.28515625" style="253" customWidth="1"/>
    <col min="6403" max="6403" width="17.42578125" style="253" customWidth="1"/>
    <col min="6404" max="6406" width="33" style="253" customWidth="1"/>
    <col min="6407" max="6656" width="9.140625" style="253"/>
    <col min="6657" max="6657" width="20.42578125" style="253" customWidth="1"/>
    <col min="6658" max="6658" width="23.28515625" style="253" customWidth="1"/>
    <col min="6659" max="6659" width="17.42578125" style="253" customWidth="1"/>
    <col min="6660" max="6662" width="33" style="253" customWidth="1"/>
    <col min="6663" max="6912" width="9.140625" style="253"/>
    <col min="6913" max="6913" width="20.42578125" style="253" customWidth="1"/>
    <col min="6914" max="6914" width="23.28515625" style="253" customWidth="1"/>
    <col min="6915" max="6915" width="17.42578125" style="253" customWidth="1"/>
    <col min="6916" max="6918" width="33" style="253" customWidth="1"/>
    <col min="6919" max="7168" width="9.140625" style="253"/>
    <col min="7169" max="7169" width="20.42578125" style="253" customWidth="1"/>
    <col min="7170" max="7170" width="23.28515625" style="253" customWidth="1"/>
    <col min="7171" max="7171" width="17.42578125" style="253" customWidth="1"/>
    <col min="7172" max="7174" width="33" style="253" customWidth="1"/>
    <col min="7175" max="7424" width="9.140625" style="253"/>
    <col min="7425" max="7425" width="20.42578125" style="253" customWidth="1"/>
    <col min="7426" max="7426" width="23.28515625" style="253" customWidth="1"/>
    <col min="7427" max="7427" width="17.42578125" style="253" customWidth="1"/>
    <col min="7428" max="7430" width="33" style="253" customWidth="1"/>
    <col min="7431" max="7680" width="9.140625" style="253"/>
    <col min="7681" max="7681" width="20.42578125" style="253" customWidth="1"/>
    <col min="7682" max="7682" width="23.28515625" style="253" customWidth="1"/>
    <col min="7683" max="7683" width="17.42578125" style="253" customWidth="1"/>
    <col min="7684" max="7686" width="33" style="253" customWidth="1"/>
    <col min="7687" max="7936" width="9.140625" style="253"/>
    <col min="7937" max="7937" width="20.42578125" style="253" customWidth="1"/>
    <col min="7938" max="7938" width="23.28515625" style="253" customWidth="1"/>
    <col min="7939" max="7939" width="17.42578125" style="253" customWidth="1"/>
    <col min="7940" max="7942" width="33" style="253" customWidth="1"/>
    <col min="7943" max="8192" width="9.140625" style="253"/>
    <col min="8193" max="8193" width="20.42578125" style="253" customWidth="1"/>
    <col min="8194" max="8194" width="23.28515625" style="253" customWidth="1"/>
    <col min="8195" max="8195" width="17.42578125" style="253" customWidth="1"/>
    <col min="8196" max="8198" width="33" style="253" customWidth="1"/>
    <col min="8199" max="8448" width="9.140625" style="253"/>
    <col min="8449" max="8449" width="20.42578125" style="253" customWidth="1"/>
    <col min="8450" max="8450" width="23.28515625" style="253" customWidth="1"/>
    <col min="8451" max="8451" width="17.42578125" style="253" customWidth="1"/>
    <col min="8452" max="8454" width="33" style="253" customWidth="1"/>
    <col min="8455" max="8704" width="9.140625" style="253"/>
    <col min="8705" max="8705" width="20.42578125" style="253" customWidth="1"/>
    <col min="8706" max="8706" width="23.28515625" style="253" customWidth="1"/>
    <col min="8707" max="8707" width="17.42578125" style="253" customWidth="1"/>
    <col min="8708" max="8710" width="33" style="253" customWidth="1"/>
    <col min="8711" max="8960" width="9.140625" style="253"/>
    <col min="8961" max="8961" width="20.42578125" style="253" customWidth="1"/>
    <col min="8962" max="8962" width="23.28515625" style="253" customWidth="1"/>
    <col min="8963" max="8963" width="17.42578125" style="253" customWidth="1"/>
    <col min="8964" max="8966" width="33" style="253" customWidth="1"/>
    <col min="8967" max="9216" width="9.140625" style="253"/>
    <col min="9217" max="9217" width="20.42578125" style="253" customWidth="1"/>
    <col min="9218" max="9218" width="23.28515625" style="253" customWidth="1"/>
    <col min="9219" max="9219" width="17.42578125" style="253" customWidth="1"/>
    <col min="9220" max="9222" width="33" style="253" customWidth="1"/>
    <col min="9223" max="9472" width="9.140625" style="253"/>
    <col min="9473" max="9473" width="20.42578125" style="253" customWidth="1"/>
    <col min="9474" max="9474" width="23.28515625" style="253" customWidth="1"/>
    <col min="9475" max="9475" width="17.42578125" style="253" customWidth="1"/>
    <col min="9476" max="9478" width="33" style="253" customWidth="1"/>
    <col min="9479" max="9728" width="9.140625" style="253"/>
    <col min="9729" max="9729" width="20.42578125" style="253" customWidth="1"/>
    <col min="9730" max="9730" width="23.28515625" style="253" customWidth="1"/>
    <col min="9731" max="9731" width="17.42578125" style="253" customWidth="1"/>
    <col min="9732" max="9734" width="33" style="253" customWidth="1"/>
    <col min="9735" max="9984" width="9.140625" style="253"/>
    <col min="9985" max="9985" width="20.42578125" style="253" customWidth="1"/>
    <col min="9986" max="9986" width="23.28515625" style="253" customWidth="1"/>
    <col min="9987" max="9987" width="17.42578125" style="253" customWidth="1"/>
    <col min="9988" max="9990" width="33" style="253" customWidth="1"/>
    <col min="9991" max="10240" width="9.140625" style="253"/>
    <col min="10241" max="10241" width="20.42578125" style="253" customWidth="1"/>
    <col min="10242" max="10242" width="23.28515625" style="253" customWidth="1"/>
    <col min="10243" max="10243" width="17.42578125" style="253" customWidth="1"/>
    <col min="10244" max="10246" width="33" style="253" customWidth="1"/>
    <col min="10247" max="10496" width="9.140625" style="253"/>
    <col min="10497" max="10497" width="20.42578125" style="253" customWidth="1"/>
    <col min="10498" max="10498" width="23.28515625" style="253" customWidth="1"/>
    <col min="10499" max="10499" width="17.42578125" style="253" customWidth="1"/>
    <col min="10500" max="10502" width="33" style="253" customWidth="1"/>
    <col min="10503" max="10752" width="9.140625" style="253"/>
    <col min="10753" max="10753" width="20.42578125" style="253" customWidth="1"/>
    <col min="10754" max="10754" width="23.28515625" style="253" customWidth="1"/>
    <col min="10755" max="10755" width="17.42578125" style="253" customWidth="1"/>
    <col min="10756" max="10758" width="33" style="253" customWidth="1"/>
    <col min="10759" max="11008" width="9.140625" style="253"/>
    <col min="11009" max="11009" width="20.42578125" style="253" customWidth="1"/>
    <col min="11010" max="11010" width="23.28515625" style="253" customWidth="1"/>
    <col min="11011" max="11011" width="17.42578125" style="253" customWidth="1"/>
    <col min="11012" max="11014" width="33" style="253" customWidth="1"/>
    <col min="11015" max="11264" width="9.140625" style="253"/>
    <col min="11265" max="11265" width="20.42578125" style="253" customWidth="1"/>
    <col min="11266" max="11266" width="23.28515625" style="253" customWidth="1"/>
    <col min="11267" max="11267" width="17.42578125" style="253" customWidth="1"/>
    <col min="11268" max="11270" width="33" style="253" customWidth="1"/>
    <col min="11271" max="11520" width="9.140625" style="253"/>
    <col min="11521" max="11521" width="20.42578125" style="253" customWidth="1"/>
    <col min="11522" max="11522" width="23.28515625" style="253" customWidth="1"/>
    <col min="11523" max="11523" width="17.42578125" style="253" customWidth="1"/>
    <col min="11524" max="11526" width="33" style="253" customWidth="1"/>
    <col min="11527" max="11776" width="9.140625" style="253"/>
    <col min="11777" max="11777" width="20.42578125" style="253" customWidth="1"/>
    <col min="11778" max="11778" width="23.28515625" style="253" customWidth="1"/>
    <col min="11779" max="11779" width="17.42578125" style="253" customWidth="1"/>
    <col min="11780" max="11782" width="33" style="253" customWidth="1"/>
    <col min="11783" max="12032" width="9.140625" style="253"/>
    <col min="12033" max="12033" width="20.42578125" style="253" customWidth="1"/>
    <col min="12034" max="12034" width="23.28515625" style="253" customWidth="1"/>
    <col min="12035" max="12035" width="17.42578125" style="253" customWidth="1"/>
    <col min="12036" max="12038" width="33" style="253" customWidth="1"/>
    <col min="12039" max="12288" width="9.140625" style="253"/>
    <col min="12289" max="12289" width="20.42578125" style="253" customWidth="1"/>
    <col min="12290" max="12290" width="23.28515625" style="253" customWidth="1"/>
    <col min="12291" max="12291" width="17.42578125" style="253" customWidth="1"/>
    <col min="12292" max="12294" width="33" style="253" customWidth="1"/>
    <col min="12295" max="12544" width="9.140625" style="253"/>
    <col min="12545" max="12545" width="20.42578125" style="253" customWidth="1"/>
    <col min="12546" max="12546" width="23.28515625" style="253" customWidth="1"/>
    <col min="12547" max="12547" width="17.42578125" style="253" customWidth="1"/>
    <col min="12548" max="12550" width="33" style="253" customWidth="1"/>
    <col min="12551" max="12800" width="9.140625" style="253"/>
    <col min="12801" max="12801" width="20.42578125" style="253" customWidth="1"/>
    <col min="12802" max="12802" width="23.28515625" style="253" customWidth="1"/>
    <col min="12803" max="12803" width="17.42578125" style="253" customWidth="1"/>
    <col min="12804" max="12806" width="33" style="253" customWidth="1"/>
    <col min="12807" max="13056" width="9.140625" style="253"/>
    <col min="13057" max="13057" width="20.42578125" style="253" customWidth="1"/>
    <col min="13058" max="13058" width="23.28515625" style="253" customWidth="1"/>
    <col min="13059" max="13059" width="17.42578125" style="253" customWidth="1"/>
    <col min="13060" max="13062" width="33" style="253" customWidth="1"/>
    <col min="13063" max="13312" width="9.140625" style="253"/>
    <col min="13313" max="13313" width="20.42578125" style="253" customWidth="1"/>
    <col min="13314" max="13314" width="23.28515625" style="253" customWidth="1"/>
    <col min="13315" max="13315" width="17.42578125" style="253" customWidth="1"/>
    <col min="13316" max="13318" width="33" style="253" customWidth="1"/>
    <col min="13319" max="13568" width="9.140625" style="253"/>
    <col min="13569" max="13569" width="20.42578125" style="253" customWidth="1"/>
    <col min="13570" max="13570" width="23.28515625" style="253" customWidth="1"/>
    <col min="13571" max="13571" width="17.42578125" style="253" customWidth="1"/>
    <col min="13572" max="13574" width="33" style="253" customWidth="1"/>
    <col min="13575" max="13824" width="9.140625" style="253"/>
    <col min="13825" max="13825" width="20.42578125" style="253" customWidth="1"/>
    <col min="13826" max="13826" width="23.28515625" style="253" customWidth="1"/>
    <col min="13827" max="13827" width="17.42578125" style="253" customWidth="1"/>
    <col min="13828" max="13830" width="33" style="253" customWidth="1"/>
    <col min="13831" max="14080" width="9.140625" style="253"/>
    <col min="14081" max="14081" width="20.42578125" style="253" customWidth="1"/>
    <col min="14082" max="14082" width="23.28515625" style="253" customWidth="1"/>
    <col min="14083" max="14083" width="17.42578125" style="253" customWidth="1"/>
    <col min="14084" max="14086" width="33" style="253" customWidth="1"/>
    <col min="14087" max="14336" width="9.140625" style="253"/>
    <col min="14337" max="14337" width="20.42578125" style="253" customWidth="1"/>
    <col min="14338" max="14338" width="23.28515625" style="253" customWidth="1"/>
    <col min="14339" max="14339" width="17.42578125" style="253" customWidth="1"/>
    <col min="14340" max="14342" width="33" style="253" customWidth="1"/>
    <col min="14343" max="14592" width="9.140625" style="253"/>
    <col min="14593" max="14593" width="20.42578125" style="253" customWidth="1"/>
    <col min="14594" max="14594" width="23.28515625" style="253" customWidth="1"/>
    <col min="14595" max="14595" width="17.42578125" style="253" customWidth="1"/>
    <col min="14596" max="14598" width="33" style="253" customWidth="1"/>
    <col min="14599" max="14848" width="9.140625" style="253"/>
    <col min="14849" max="14849" width="20.42578125" style="253" customWidth="1"/>
    <col min="14850" max="14850" width="23.28515625" style="253" customWidth="1"/>
    <col min="14851" max="14851" width="17.42578125" style="253" customWidth="1"/>
    <col min="14852" max="14854" width="33" style="253" customWidth="1"/>
    <col min="14855" max="15104" width="9.140625" style="253"/>
    <col min="15105" max="15105" width="20.42578125" style="253" customWidth="1"/>
    <col min="15106" max="15106" width="23.28515625" style="253" customWidth="1"/>
    <col min="15107" max="15107" width="17.42578125" style="253" customWidth="1"/>
    <col min="15108" max="15110" width="33" style="253" customWidth="1"/>
    <col min="15111" max="15360" width="9.140625" style="253"/>
    <col min="15361" max="15361" width="20.42578125" style="253" customWidth="1"/>
    <col min="15362" max="15362" width="23.28515625" style="253" customWidth="1"/>
    <col min="15363" max="15363" width="17.42578125" style="253" customWidth="1"/>
    <col min="15364" max="15366" width="33" style="253" customWidth="1"/>
    <col min="15367" max="15616" width="9.140625" style="253"/>
    <col min="15617" max="15617" width="20.42578125" style="253" customWidth="1"/>
    <col min="15618" max="15618" width="23.28515625" style="253" customWidth="1"/>
    <col min="15619" max="15619" width="17.42578125" style="253" customWidth="1"/>
    <col min="15620" max="15622" width="33" style="253" customWidth="1"/>
    <col min="15623" max="15872" width="9.140625" style="253"/>
    <col min="15873" max="15873" width="20.42578125" style="253" customWidth="1"/>
    <col min="15874" max="15874" width="23.28515625" style="253" customWidth="1"/>
    <col min="15875" max="15875" width="17.42578125" style="253" customWidth="1"/>
    <col min="15876" max="15878" width="33" style="253" customWidth="1"/>
    <col min="15879" max="16128" width="9.140625" style="253"/>
    <col min="16129" max="16129" width="20.42578125" style="253" customWidth="1"/>
    <col min="16130" max="16130" width="23.28515625" style="253" customWidth="1"/>
    <col min="16131" max="16131" width="17.42578125" style="253" customWidth="1"/>
    <col min="16132" max="16134" width="33" style="253" customWidth="1"/>
    <col min="16135" max="16384" width="9.140625" style="253"/>
  </cols>
  <sheetData>
    <row r="1" spans="1:16" ht="13.5" customHeight="1" x14ac:dyDescent="0.25">
      <c r="I1" s="254" t="s">
        <v>488</v>
      </c>
    </row>
    <row r="2" spans="1:16" ht="13.5" hidden="1" customHeight="1" x14ac:dyDescent="0.25">
      <c r="I2" s="14" t="s">
        <v>184</v>
      </c>
    </row>
    <row r="3" spans="1:16" ht="13.5" hidden="1" customHeight="1" x14ac:dyDescent="0.25">
      <c r="I3" s="14" t="s">
        <v>185</v>
      </c>
    </row>
    <row r="4" spans="1:16" ht="13.5" hidden="1" customHeight="1" x14ac:dyDescent="0.25">
      <c r="I4" s="14" t="s">
        <v>656</v>
      </c>
    </row>
    <row r="5" spans="1:16" ht="13.5" hidden="1" customHeight="1" x14ac:dyDescent="0.2">
      <c r="A5" s="894" t="s">
        <v>489</v>
      </c>
      <c r="B5" s="894"/>
      <c r="C5" s="894"/>
      <c r="D5" s="894"/>
      <c r="E5" s="894"/>
      <c r="F5" s="894"/>
      <c r="G5" s="894"/>
      <c r="H5" s="894"/>
      <c r="I5" s="894"/>
      <c r="J5" s="894"/>
      <c r="K5" s="894"/>
      <c r="L5" s="894"/>
      <c r="M5" s="894"/>
      <c r="N5" s="894"/>
      <c r="O5" s="894"/>
      <c r="P5" s="894"/>
    </row>
    <row r="6" spans="1:16" ht="13.5" hidden="1" customHeight="1" x14ac:dyDescent="0.2">
      <c r="A6" s="894" t="s">
        <v>187</v>
      </c>
      <c r="B6" s="894"/>
      <c r="C6" s="894"/>
      <c r="D6" s="894"/>
      <c r="E6" s="894"/>
      <c r="F6" s="894"/>
      <c r="G6" s="894"/>
      <c r="H6" s="894"/>
      <c r="I6" s="894"/>
      <c r="J6" s="894"/>
      <c r="K6" s="894"/>
      <c r="L6" s="894"/>
      <c r="M6" s="894"/>
      <c r="N6" s="894"/>
      <c r="O6" s="894"/>
      <c r="P6" s="894"/>
    </row>
    <row r="7" spans="1:16" ht="15.75" hidden="1" x14ac:dyDescent="0.2">
      <c r="A7" s="178">
        <v>11503000000</v>
      </c>
    </row>
    <row r="8" spans="1:16" ht="15.75" hidden="1" x14ac:dyDescent="0.2">
      <c r="A8" s="178" t="s">
        <v>2</v>
      </c>
    </row>
    <row r="9" spans="1:16" ht="13.5" hidden="1" thickBot="1" x14ac:dyDescent="0.25">
      <c r="O9" s="253" t="s">
        <v>188</v>
      </c>
    </row>
    <row r="10" spans="1:16" ht="222.75" hidden="1" customHeight="1" thickBot="1" x14ac:dyDescent="0.25">
      <c r="A10" s="895" t="s">
        <v>4</v>
      </c>
      <c r="B10" s="898" t="s">
        <v>5</v>
      </c>
      <c r="C10" s="898" t="s">
        <v>6</v>
      </c>
      <c r="D10" s="898" t="s">
        <v>490</v>
      </c>
      <c r="E10" s="892" t="s">
        <v>491</v>
      </c>
      <c r="F10" s="901"/>
      <c r="G10" s="901"/>
      <c r="H10" s="893"/>
      <c r="I10" s="892" t="s">
        <v>492</v>
      </c>
      <c r="J10" s="901"/>
      <c r="K10" s="901"/>
      <c r="L10" s="893"/>
      <c r="M10" s="892" t="s">
        <v>493</v>
      </c>
      <c r="N10" s="901"/>
      <c r="O10" s="901"/>
      <c r="P10" s="893"/>
    </row>
    <row r="11" spans="1:16" ht="16.5" hidden="1" thickBot="1" x14ac:dyDescent="0.25">
      <c r="A11" s="896"/>
      <c r="B11" s="899"/>
      <c r="C11" s="899"/>
      <c r="D11" s="899"/>
      <c r="E11" s="890" t="s">
        <v>494</v>
      </c>
      <c r="F11" s="892" t="s">
        <v>495</v>
      </c>
      <c r="G11" s="893"/>
      <c r="H11" s="890" t="s">
        <v>295</v>
      </c>
      <c r="I11" s="890" t="s">
        <v>494</v>
      </c>
      <c r="J11" s="892" t="s">
        <v>495</v>
      </c>
      <c r="K11" s="893"/>
      <c r="L11" s="890" t="s">
        <v>295</v>
      </c>
      <c r="M11" s="890" t="s">
        <v>494</v>
      </c>
      <c r="N11" s="892" t="s">
        <v>495</v>
      </c>
      <c r="O11" s="893"/>
      <c r="P11" s="890" t="s">
        <v>295</v>
      </c>
    </row>
    <row r="12" spans="1:16" ht="95.25" hidden="1" thickBot="1" x14ac:dyDescent="0.25">
      <c r="A12" s="897"/>
      <c r="B12" s="900"/>
      <c r="C12" s="900"/>
      <c r="D12" s="900"/>
      <c r="E12" s="891"/>
      <c r="F12" s="255" t="s">
        <v>13</v>
      </c>
      <c r="G12" s="255" t="s">
        <v>14</v>
      </c>
      <c r="H12" s="891"/>
      <c r="I12" s="891"/>
      <c r="J12" s="255" t="s">
        <v>13</v>
      </c>
      <c r="K12" s="255" t="s">
        <v>14</v>
      </c>
      <c r="L12" s="891"/>
      <c r="M12" s="891"/>
      <c r="N12" s="255" t="s">
        <v>13</v>
      </c>
      <c r="O12" s="255" t="s">
        <v>14</v>
      </c>
      <c r="P12" s="891"/>
    </row>
    <row r="13" spans="1:16" ht="16.5" hidden="1" thickBot="1" x14ac:dyDescent="0.25">
      <c r="A13" s="256">
        <v>1</v>
      </c>
      <c r="B13" s="257">
        <v>2</v>
      </c>
      <c r="C13" s="257">
        <v>3</v>
      </c>
      <c r="D13" s="257">
        <v>4</v>
      </c>
      <c r="E13" s="257">
        <v>5</v>
      </c>
      <c r="F13" s="257">
        <v>6</v>
      </c>
      <c r="G13" s="257">
        <v>7</v>
      </c>
      <c r="H13" s="257">
        <v>8</v>
      </c>
      <c r="I13" s="257">
        <v>9</v>
      </c>
      <c r="J13" s="257">
        <v>10</v>
      </c>
      <c r="K13" s="257">
        <v>11</v>
      </c>
      <c r="L13" s="257">
        <v>12</v>
      </c>
      <c r="M13" s="257">
        <v>13</v>
      </c>
      <c r="N13" s="257">
        <v>14</v>
      </c>
      <c r="O13" s="257">
        <v>15</v>
      </c>
      <c r="P13" s="257">
        <v>16</v>
      </c>
    </row>
    <row r="14" spans="1:16" ht="16.5" hidden="1" thickBot="1" x14ac:dyDescent="0.25">
      <c r="A14" s="256" t="s">
        <v>496</v>
      </c>
      <c r="B14" s="256" t="s">
        <v>496</v>
      </c>
      <c r="C14" s="256" t="s">
        <v>496</v>
      </c>
      <c r="D14" s="256" t="s">
        <v>496</v>
      </c>
      <c r="E14" s="256" t="s">
        <v>496</v>
      </c>
      <c r="F14" s="256" t="s">
        <v>496</v>
      </c>
      <c r="G14" s="256" t="s">
        <v>496</v>
      </c>
      <c r="H14" s="256" t="s">
        <v>496</v>
      </c>
      <c r="I14" s="256" t="s">
        <v>496</v>
      </c>
      <c r="J14" s="256" t="s">
        <v>496</v>
      </c>
      <c r="K14" s="256" t="s">
        <v>496</v>
      </c>
      <c r="L14" s="256" t="s">
        <v>496</v>
      </c>
      <c r="M14" s="256" t="s">
        <v>496</v>
      </c>
      <c r="N14" s="256" t="s">
        <v>496</v>
      </c>
      <c r="O14" s="256" t="s">
        <v>496</v>
      </c>
      <c r="P14" s="256" t="s">
        <v>496</v>
      </c>
    </row>
    <row r="15" spans="1:16" ht="16.5" hidden="1" thickBot="1" x14ac:dyDescent="0.25">
      <c r="A15" s="256" t="s">
        <v>484</v>
      </c>
      <c r="B15" s="257" t="s">
        <v>484</v>
      </c>
      <c r="C15" s="257" t="s">
        <v>484</v>
      </c>
      <c r="D15" s="258" t="s">
        <v>182</v>
      </c>
      <c r="E15" s="257" t="s">
        <v>344</v>
      </c>
      <c r="F15" s="257" t="s">
        <v>344</v>
      </c>
      <c r="G15" s="257" t="s">
        <v>344</v>
      </c>
      <c r="H15" s="257" t="s">
        <v>344</v>
      </c>
      <c r="I15" s="257" t="s">
        <v>344</v>
      </c>
      <c r="J15" s="257" t="s">
        <v>344</v>
      </c>
      <c r="K15" s="257" t="s">
        <v>344</v>
      </c>
      <c r="L15" s="257" t="s">
        <v>344</v>
      </c>
      <c r="M15" s="257" t="s">
        <v>344</v>
      </c>
      <c r="N15" s="257" t="s">
        <v>344</v>
      </c>
      <c r="O15" s="257" t="s">
        <v>344</v>
      </c>
      <c r="P15" s="257" t="s">
        <v>344</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 ref="I11:I12"/>
    <mergeCell ref="J11:K11"/>
    <mergeCell ref="L11:L12"/>
    <mergeCell ref="M11:M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tabSelected="1" view="pageBreakPreview" zoomScale="60" zoomScaleNormal="100" workbookViewId="0">
      <selection activeCell="C4" sqref="C4"/>
    </sheetView>
  </sheetViews>
  <sheetFormatPr defaultRowHeight="15.75" x14ac:dyDescent="0.25"/>
  <cols>
    <col min="1" max="1" width="19.5703125" style="260" customWidth="1"/>
    <col min="2" max="2" width="71.7109375" style="260" customWidth="1"/>
    <col min="3" max="3" width="32.85546875" style="260" customWidth="1"/>
    <col min="4" max="4" width="12.7109375" style="260" hidden="1" customWidth="1"/>
    <col min="5" max="5" width="14.5703125" style="260" hidden="1" customWidth="1"/>
    <col min="6" max="6" width="19.85546875" style="260" hidden="1" customWidth="1"/>
    <col min="7" max="7" width="15" style="260" hidden="1" customWidth="1"/>
    <col min="8" max="8" width="28.85546875" style="260" hidden="1" customWidth="1"/>
    <col min="9" max="33" width="0" style="260" hidden="1" customWidth="1"/>
    <col min="34" max="255" width="9.140625" style="260"/>
    <col min="256" max="257" width="20.7109375" style="260" customWidth="1"/>
    <col min="258" max="258" width="73.28515625" style="260" customWidth="1"/>
    <col min="259" max="259" width="31.42578125" style="260" customWidth="1"/>
    <col min="260" max="511" width="9.140625" style="260"/>
    <col min="512" max="513" width="20.7109375" style="260" customWidth="1"/>
    <col min="514" max="514" width="73.28515625" style="260" customWidth="1"/>
    <col min="515" max="515" width="31.42578125" style="260" customWidth="1"/>
    <col min="516" max="767" width="9.140625" style="260"/>
    <col min="768" max="769" width="20.7109375" style="260" customWidth="1"/>
    <col min="770" max="770" width="73.28515625" style="260" customWidth="1"/>
    <col min="771" max="771" width="31.42578125" style="260" customWidth="1"/>
    <col min="772" max="1023" width="9.140625" style="260"/>
    <col min="1024" max="1025" width="20.7109375" style="260" customWidth="1"/>
    <col min="1026" max="1026" width="73.28515625" style="260" customWidth="1"/>
    <col min="1027" max="1027" width="31.42578125" style="260" customWidth="1"/>
    <col min="1028" max="1279" width="9.140625" style="260"/>
    <col min="1280" max="1281" width="20.7109375" style="260" customWidth="1"/>
    <col min="1282" max="1282" width="73.28515625" style="260" customWidth="1"/>
    <col min="1283" max="1283" width="31.42578125" style="260" customWidth="1"/>
    <col min="1284" max="1535" width="9.140625" style="260"/>
    <col min="1536" max="1537" width="20.7109375" style="260" customWidth="1"/>
    <col min="1538" max="1538" width="73.28515625" style="260" customWidth="1"/>
    <col min="1539" max="1539" width="31.42578125" style="260" customWidth="1"/>
    <col min="1540" max="1791" width="9.140625" style="260"/>
    <col min="1792" max="1793" width="20.7109375" style="260" customWidth="1"/>
    <col min="1794" max="1794" width="73.28515625" style="260" customWidth="1"/>
    <col min="1795" max="1795" width="31.42578125" style="260" customWidth="1"/>
    <col min="1796" max="2047" width="9.140625" style="260"/>
    <col min="2048" max="2049" width="20.7109375" style="260" customWidth="1"/>
    <col min="2050" max="2050" width="73.28515625" style="260" customWidth="1"/>
    <col min="2051" max="2051" width="31.42578125" style="260" customWidth="1"/>
    <col min="2052" max="2303" width="9.140625" style="260"/>
    <col min="2304" max="2305" width="20.7109375" style="260" customWidth="1"/>
    <col min="2306" max="2306" width="73.28515625" style="260" customWidth="1"/>
    <col min="2307" max="2307" width="31.42578125" style="260" customWidth="1"/>
    <col min="2308" max="2559" width="9.140625" style="260"/>
    <col min="2560" max="2561" width="20.7109375" style="260" customWidth="1"/>
    <col min="2562" max="2562" width="73.28515625" style="260" customWidth="1"/>
    <col min="2563" max="2563" width="31.42578125" style="260" customWidth="1"/>
    <col min="2564" max="2815" width="9.140625" style="260"/>
    <col min="2816" max="2817" width="20.7109375" style="260" customWidth="1"/>
    <col min="2818" max="2818" width="73.28515625" style="260" customWidth="1"/>
    <col min="2819" max="2819" width="31.42578125" style="260" customWidth="1"/>
    <col min="2820" max="3071" width="9.140625" style="260"/>
    <col min="3072" max="3073" width="20.7109375" style="260" customWidth="1"/>
    <col min="3074" max="3074" width="73.28515625" style="260" customWidth="1"/>
    <col min="3075" max="3075" width="31.42578125" style="260" customWidth="1"/>
    <col min="3076" max="3327" width="9.140625" style="260"/>
    <col min="3328" max="3329" width="20.7109375" style="260" customWidth="1"/>
    <col min="3330" max="3330" width="73.28515625" style="260" customWidth="1"/>
    <col min="3331" max="3331" width="31.42578125" style="260" customWidth="1"/>
    <col min="3332" max="3583" width="9.140625" style="260"/>
    <col min="3584" max="3585" width="20.7109375" style="260" customWidth="1"/>
    <col min="3586" max="3586" width="73.28515625" style="260" customWidth="1"/>
    <col min="3587" max="3587" width="31.42578125" style="260" customWidth="1"/>
    <col min="3588" max="3839" width="9.140625" style="260"/>
    <col min="3840" max="3841" width="20.7109375" style="260" customWidth="1"/>
    <col min="3842" max="3842" width="73.28515625" style="260" customWidth="1"/>
    <col min="3843" max="3843" width="31.42578125" style="260" customWidth="1"/>
    <col min="3844" max="4095" width="9.140625" style="260"/>
    <col min="4096" max="4097" width="20.7109375" style="260" customWidth="1"/>
    <col min="4098" max="4098" width="73.28515625" style="260" customWidth="1"/>
    <col min="4099" max="4099" width="31.42578125" style="260" customWidth="1"/>
    <col min="4100" max="4351" width="9.140625" style="260"/>
    <col min="4352" max="4353" width="20.7109375" style="260" customWidth="1"/>
    <col min="4354" max="4354" width="73.28515625" style="260" customWidth="1"/>
    <col min="4355" max="4355" width="31.42578125" style="260" customWidth="1"/>
    <col min="4356" max="4607" width="9.140625" style="260"/>
    <col min="4608" max="4609" width="20.7109375" style="260" customWidth="1"/>
    <col min="4610" max="4610" width="73.28515625" style="260" customWidth="1"/>
    <col min="4611" max="4611" width="31.42578125" style="260" customWidth="1"/>
    <col min="4612" max="4863" width="9.140625" style="260"/>
    <col min="4864" max="4865" width="20.7109375" style="260" customWidth="1"/>
    <col min="4866" max="4866" width="73.28515625" style="260" customWidth="1"/>
    <col min="4867" max="4867" width="31.42578125" style="260" customWidth="1"/>
    <col min="4868" max="5119" width="9.140625" style="260"/>
    <col min="5120" max="5121" width="20.7109375" style="260" customWidth="1"/>
    <col min="5122" max="5122" width="73.28515625" style="260" customWidth="1"/>
    <col min="5123" max="5123" width="31.42578125" style="260" customWidth="1"/>
    <col min="5124" max="5375" width="9.140625" style="260"/>
    <col min="5376" max="5377" width="20.7109375" style="260" customWidth="1"/>
    <col min="5378" max="5378" width="73.28515625" style="260" customWidth="1"/>
    <col min="5379" max="5379" width="31.42578125" style="260" customWidth="1"/>
    <col min="5380" max="5631" width="9.140625" style="260"/>
    <col min="5632" max="5633" width="20.7109375" style="260" customWidth="1"/>
    <col min="5634" max="5634" width="73.28515625" style="260" customWidth="1"/>
    <col min="5635" max="5635" width="31.42578125" style="260" customWidth="1"/>
    <col min="5636" max="5887" width="9.140625" style="260"/>
    <col min="5888" max="5889" width="20.7109375" style="260" customWidth="1"/>
    <col min="5890" max="5890" width="73.28515625" style="260" customWidth="1"/>
    <col min="5891" max="5891" width="31.42578125" style="260" customWidth="1"/>
    <col min="5892" max="6143" width="9.140625" style="260"/>
    <col min="6144" max="6145" width="20.7109375" style="260" customWidth="1"/>
    <col min="6146" max="6146" width="73.28515625" style="260" customWidth="1"/>
    <col min="6147" max="6147" width="31.42578125" style="260" customWidth="1"/>
    <col min="6148" max="6399" width="9.140625" style="260"/>
    <col min="6400" max="6401" width="20.7109375" style="260" customWidth="1"/>
    <col min="6402" max="6402" width="73.28515625" style="260" customWidth="1"/>
    <col min="6403" max="6403" width="31.42578125" style="260" customWidth="1"/>
    <col min="6404" max="6655" width="9.140625" style="260"/>
    <col min="6656" max="6657" width="20.7109375" style="260" customWidth="1"/>
    <col min="6658" max="6658" width="73.28515625" style="260" customWidth="1"/>
    <col min="6659" max="6659" width="31.42578125" style="260" customWidth="1"/>
    <col min="6660" max="6911" width="9.140625" style="260"/>
    <col min="6912" max="6913" width="20.7109375" style="260" customWidth="1"/>
    <col min="6914" max="6914" width="73.28515625" style="260" customWidth="1"/>
    <col min="6915" max="6915" width="31.42578125" style="260" customWidth="1"/>
    <col min="6916" max="7167" width="9.140625" style="260"/>
    <col min="7168" max="7169" width="20.7109375" style="260" customWidth="1"/>
    <col min="7170" max="7170" width="73.28515625" style="260" customWidth="1"/>
    <col min="7171" max="7171" width="31.42578125" style="260" customWidth="1"/>
    <col min="7172" max="7423" width="9.140625" style="260"/>
    <col min="7424" max="7425" width="20.7109375" style="260" customWidth="1"/>
    <col min="7426" max="7426" width="73.28515625" style="260" customWidth="1"/>
    <col min="7427" max="7427" width="31.42578125" style="260" customWidth="1"/>
    <col min="7428" max="7679" width="9.140625" style="260"/>
    <col min="7680" max="7681" width="20.7109375" style="260" customWidth="1"/>
    <col min="7682" max="7682" width="73.28515625" style="260" customWidth="1"/>
    <col min="7683" max="7683" width="31.42578125" style="260" customWidth="1"/>
    <col min="7684" max="7935" width="9.140625" style="260"/>
    <col min="7936" max="7937" width="20.7109375" style="260" customWidth="1"/>
    <col min="7938" max="7938" width="73.28515625" style="260" customWidth="1"/>
    <col min="7939" max="7939" width="31.42578125" style="260" customWidth="1"/>
    <col min="7940" max="8191" width="9.140625" style="260"/>
    <col min="8192" max="8193" width="20.7109375" style="260" customWidth="1"/>
    <col min="8194" max="8194" width="73.28515625" style="260" customWidth="1"/>
    <col min="8195" max="8195" width="31.42578125" style="260" customWidth="1"/>
    <col min="8196" max="8447" width="9.140625" style="260"/>
    <col min="8448" max="8449" width="20.7109375" style="260" customWidth="1"/>
    <col min="8450" max="8450" width="73.28515625" style="260" customWidth="1"/>
    <col min="8451" max="8451" width="31.42578125" style="260" customWidth="1"/>
    <col min="8452" max="8703" width="9.140625" style="260"/>
    <col min="8704" max="8705" width="20.7109375" style="260" customWidth="1"/>
    <col min="8706" max="8706" width="73.28515625" style="260" customWidth="1"/>
    <col min="8707" max="8707" width="31.42578125" style="260" customWidth="1"/>
    <col min="8708" max="8959" width="9.140625" style="260"/>
    <col min="8960" max="8961" width="20.7109375" style="260" customWidth="1"/>
    <col min="8962" max="8962" width="73.28515625" style="260" customWidth="1"/>
    <col min="8963" max="8963" width="31.42578125" style="260" customWidth="1"/>
    <col min="8964" max="9215" width="9.140625" style="260"/>
    <col min="9216" max="9217" width="20.7109375" style="260" customWidth="1"/>
    <col min="9218" max="9218" width="73.28515625" style="260" customWidth="1"/>
    <col min="9219" max="9219" width="31.42578125" style="260" customWidth="1"/>
    <col min="9220" max="9471" width="9.140625" style="260"/>
    <col min="9472" max="9473" width="20.7109375" style="260" customWidth="1"/>
    <col min="9474" max="9474" width="73.28515625" style="260" customWidth="1"/>
    <col min="9475" max="9475" width="31.42578125" style="260" customWidth="1"/>
    <col min="9476" max="9727" width="9.140625" style="260"/>
    <col min="9728" max="9729" width="20.7109375" style="260" customWidth="1"/>
    <col min="9730" max="9730" width="73.28515625" style="260" customWidth="1"/>
    <col min="9731" max="9731" width="31.42578125" style="260" customWidth="1"/>
    <col min="9732" max="9983" width="9.140625" style="260"/>
    <col min="9984" max="9985" width="20.7109375" style="260" customWidth="1"/>
    <col min="9986" max="9986" width="73.28515625" style="260" customWidth="1"/>
    <col min="9987" max="9987" width="31.42578125" style="260" customWidth="1"/>
    <col min="9988" max="10239" width="9.140625" style="260"/>
    <col min="10240" max="10241" width="20.7109375" style="260" customWidth="1"/>
    <col min="10242" max="10242" width="73.28515625" style="260" customWidth="1"/>
    <col min="10243" max="10243" width="31.42578125" style="260" customWidth="1"/>
    <col min="10244" max="10495" width="9.140625" style="260"/>
    <col min="10496" max="10497" width="20.7109375" style="260" customWidth="1"/>
    <col min="10498" max="10498" width="73.28515625" style="260" customWidth="1"/>
    <col min="10499" max="10499" width="31.42578125" style="260" customWidth="1"/>
    <col min="10500" max="10751" width="9.140625" style="260"/>
    <col min="10752" max="10753" width="20.7109375" style="260" customWidth="1"/>
    <col min="10754" max="10754" width="73.28515625" style="260" customWidth="1"/>
    <col min="10755" max="10755" width="31.42578125" style="260" customWidth="1"/>
    <col min="10756" max="11007" width="9.140625" style="260"/>
    <col min="11008" max="11009" width="20.7109375" style="260" customWidth="1"/>
    <col min="11010" max="11010" width="73.28515625" style="260" customWidth="1"/>
    <col min="11011" max="11011" width="31.42578125" style="260" customWidth="1"/>
    <col min="11012" max="11263" width="9.140625" style="260"/>
    <col min="11264" max="11265" width="20.7109375" style="260" customWidth="1"/>
    <col min="11266" max="11266" width="73.28515625" style="260" customWidth="1"/>
    <col min="11267" max="11267" width="31.42578125" style="260" customWidth="1"/>
    <col min="11268" max="11519" width="9.140625" style="260"/>
    <col min="11520" max="11521" width="20.7109375" style="260" customWidth="1"/>
    <col min="11522" max="11522" width="73.28515625" style="260" customWidth="1"/>
    <col min="11523" max="11523" width="31.42578125" style="260" customWidth="1"/>
    <col min="11524" max="11775" width="9.140625" style="260"/>
    <col min="11776" max="11777" width="20.7109375" style="260" customWidth="1"/>
    <col min="11778" max="11778" width="73.28515625" style="260" customWidth="1"/>
    <col min="11779" max="11779" width="31.42578125" style="260" customWidth="1"/>
    <col min="11780" max="12031" width="9.140625" style="260"/>
    <col min="12032" max="12033" width="20.7109375" style="260" customWidth="1"/>
    <col min="12034" max="12034" width="73.28515625" style="260" customWidth="1"/>
    <col min="12035" max="12035" width="31.42578125" style="260" customWidth="1"/>
    <col min="12036" max="12287" width="9.140625" style="260"/>
    <col min="12288" max="12289" width="20.7109375" style="260" customWidth="1"/>
    <col min="12290" max="12290" width="73.28515625" style="260" customWidth="1"/>
    <col min="12291" max="12291" width="31.42578125" style="260" customWidth="1"/>
    <col min="12292" max="12543" width="9.140625" style="260"/>
    <col min="12544" max="12545" width="20.7109375" style="260" customWidth="1"/>
    <col min="12546" max="12546" width="73.28515625" style="260" customWidth="1"/>
    <col min="12547" max="12547" width="31.42578125" style="260" customWidth="1"/>
    <col min="12548" max="12799" width="9.140625" style="260"/>
    <col min="12800" max="12801" width="20.7109375" style="260" customWidth="1"/>
    <col min="12802" max="12802" width="73.28515625" style="260" customWidth="1"/>
    <col min="12803" max="12803" width="31.42578125" style="260" customWidth="1"/>
    <col min="12804" max="13055" width="9.140625" style="260"/>
    <col min="13056" max="13057" width="20.7109375" style="260" customWidth="1"/>
    <col min="13058" max="13058" width="73.28515625" style="260" customWidth="1"/>
    <col min="13059" max="13059" width="31.42578125" style="260" customWidth="1"/>
    <col min="13060" max="13311" width="9.140625" style="260"/>
    <col min="13312" max="13313" width="20.7109375" style="260" customWidth="1"/>
    <col min="13314" max="13314" width="73.28515625" style="260" customWidth="1"/>
    <col min="13315" max="13315" width="31.42578125" style="260" customWidth="1"/>
    <col min="13316" max="13567" width="9.140625" style="260"/>
    <col min="13568" max="13569" width="20.7109375" style="260" customWidth="1"/>
    <col min="13570" max="13570" width="73.28515625" style="260" customWidth="1"/>
    <col min="13571" max="13571" width="31.42578125" style="260" customWidth="1"/>
    <col min="13572" max="13823" width="9.140625" style="260"/>
    <col min="13824" max="13825" width="20.7109375" style="260" customWidth="1"/>
    <col min="13826" max="13826" width="73.28515625" style="260" customWidth="1"/>
    <col min="13827" max="13827" width="31.42578125" style="260" customWidth="1"/>
    <col min="13828" max="14079" width="9.140625" style="260"/>
    <col min="14080" max="14081" width="20.7109375" style="260" customWidth="1"/>
    <col min="14082" max="14082" width="73.28515625" style="260" customWidth="1"/>
    <col min="14083" max="14083" width="31.42578125" style="260" customWidth="1"/>
    <col min="14084" max="14335" width="9.140625" style="260"/>
    <col min="14336" max="14337" width="20.7109375" style="260" customWidth="1"/>
    <col min="14338" max="14338" width="73.28515625" style="260" customWidth="1"/>
    <col min="14339" max="14339" width="31.42578125" style="260" customWidth="1"/>
    <col min="14340" max="14591" width="9.140625" style="260"/>
    <col min="14592" max="14593" width="20.7109375" style="260" customWidth="1"/>
    <col min="14594" max="14594" width="73.28515625" style="260" customWidth="1"/>
    <col min="14595" max="14595" width="31.42578125" style="260" customWidth="1"/>
    <col min="14596" max="14847" width="9.140625" style="260"/>
    <col min="14848" max="14849" width="20.7109375" style="260" customWidth="1"/>
    <col min="14850" max="14850" width="73.28515625" style="260" customWidth="1"/>
    <col min="14851" max="14851" width="31.42578125" style="260" customWidth="1"/>
    <col min="14852" max="15103" width="9.140625" style="260"/>
    <col min="15104" max="15105" width="20.7109375" style="260" customWidth="1"/>
    <col min="15106" max="15106" width="73.28515625" style="260" customWidth="1"/>
    <col min="15107" max="15107" width="31.42578125" style="260" customWidth="1"/>
    <col min="15108" max="15359" width="9.140625" style="260"/>
    <col min="15360" max="15361" width="20.7109375" style="260" customWidth="1"/>
    <col min="15362" max="15362" width="73.28515625" style="260" customWidth="1"/>
    <col min="15363" max="15363" width="31.42578125" style="260" customWidth="1"/>
    <col min="15364" max="15615" width="9.140625" style="260"/>
    <col min="15616" max="15617" width="20.7109375" style="260" customWidth="1"/>
    <col min="15618" max="15618" width="73.28515625" style="260" customWidth="1"/>
    <col min="15619" max="15619" width="31.42578125" style="260" customWidth="1"/>
    <col min="15620" max="15871" width="9.140625" style="260"/>
    <col min="15872" max="15873" width="20.7109375" style="260" customWidth="1"/>
    <col min="15874" max="15874" width="73.28515625" style="260" customWidth="1"/>
    <col min="15875" max="15875" width="31.42578125" style="260" customWidth="1"/>
    <col min="15876" max="16127" width="9.140625" style="260"/>
    <col min="16128" max="16129" width="20.7109375" style="260" customWidth="1"/>
    <col min="16130" max="16130" width="73.28515625" style="260" customWidth="1"/>
    <col min="16131" max="16131" width="31.42578125" style="260" customWidth="1"/>
    <col min="16132" max="16384" width="9.140625" style="260"/>
  </cols>
  <sheetData>
    <row r="1" spans="1:3" x14ac:dyDescent="0.25">
      <c r="A1" s="259"/>
      <c r="C1" s="259" t="s">
        <v>497</v>
      </c>
    </row>
    <row r="2" spans="1:3" x14ac:dyDescent="0.25">
      <c r="C2" s="259" t="s">
        <v>809</v>
      </c>
    </row>
    <row r="3" spans="1:3" ht="17.25" customHeight="1" x14ac:dyDescent="0.25">
      <c r="C3" s="259" t="s">
        <v>185</v>
      </c>
    </row>
    <row r="4" spans="1:3" ht="18" customHeight="1" x14ac:dyDescent="0.25">
      <c r="C4" s="259" t="s">
        <v>989</v>
      </c>
    </row>
    <row r="5" spans="1:3" x14ac:dyDescent="0.25">
      <c r="A5" s="906" t="s">
        <v>810</v>
      </c>
      <c r="B5" s="907"/>
      <c r="C5" s="907"/>
    </row>
    <row r="6" spans="1:3" x14ac:dyDescent="0.25">
      <c r="A6" s="908" t="s">
        <v>1</v>
      </c>
      <c r="B6" s="907"/>
      <c r="C6" s="907"/>
    </row>
    <row r="7" spans="1:3" x14ac:dyDescent="0.25">
      <c r="A7" s="907" t="s">
        <v>2</v>
      </c>
      <c r="B7" s="907"/>
      <c r="C7" s="907"/>
    </row>
    <row r="8" spans="1:3" ht="21.95" customHeight="1" x14ac:dyDescent="0.25">
      <c r="A8" s="262" t="s">
        <v>498</v>
      </c>
    </row>
    <row r="9" spans="1:3" ht="16.5" thickBot="1" x14ac:dyDescent="0.3">
      <c r="C9" s="261" t="s">
        <v>499</v>
      </c>
    </row>
    <row r="10" spans="1:3" ht="47.25" customHeight="1" x14ac:dyDescent="0.25">
      <c r="A10" s="630" t="s">
        <v>500</v>
      </c>
      <c r="B10" s="631" t="s">
        <v>501</v>
      </c>
      <c r="C10" s="632" t="s">
        <v>10</v>
      </c>
    </row>
    <row r="11" spans="1:3" x14ac:dyDescent="0.25">
      <c r="A11" s="633">
        <v>1</v>
      </c>
      <c r="B11" s="263">
        <v>2</v>
      </c>
      <c r="C11" s="634">
        <v>3</v>
      </c>
    </row>
    <row r="12" spans="1:3" x14ac:dyDescent="0.25">
      <c r="A12" s="909" t="s">
        <v>502</v>
      </c>
      <c r="B12" s="910"/>
      <c r="C12" s="911"/>
    </row>
    <row r="13" spans="1:3" x14ac:dyDescent="0.25">
      <c r="A13" s="635" t="s">
        <v>329</v>
      </c>
      <c r="B13" s="628" t="s">
        <v>503</v>
      </c>
      <c r="C13" s="636">
        <f>C14</f>
        <v>51554900</v>
      </c>
    </row>
    <row r="14" spans="1:3" x14ac:dyDescent="0.25">
      <c r="A14" s="637" t="s">
        <v>504</v>
      </c>
      <c r="B14" s="629" t="s">
        <v>505</v>
      </c>
      <c r="C14" s="638">
        <f>48655900+2899000</f>
        <v>51554900</v>
      </c>
    </row>
    <row r="15" spans="1:3" ht="52.5" customHeight="1" x14ac:dyDescent="0.25">
      <c r="A15" s="637">
        <v>41035500</v>
      </c>
      <c r="B15" s="75" t="s">
        <v>869</v>
      </c>
      <c r="C15" s="636">
        <f>C16</f>
        <v>1254375</v>
      </c>
    </row>
    <row r="16" spans="1:3" ht="24.75" customHeight="1" x14ac:dyDescent="0.25">
      <c r="A16" s="637" t="s">
        <v>504</v>
      </c>
      <c r="B16" s="629" t="s">
        <v>505</v>
      </c>
      <c r="C16" s="740">
        <v>1254375</v>
      </c>
    </row>
    <row r="17" spans="1:6" ht="80.25" customHeight="1" x14ac:dyDescent="0.25">
      <c r="A17" s="635" t="s">
        <v>506</v>
      </c>
      <c r="B17" s="71" t="s">
        <v>334</v>
      </c>
      <c r="C17" s="636">
        <f>C18</f>
        <v>1466400</v>
      </c>
    </row>
    <row r="18" spans="1:6" ht="21.75" customHeight="1" x14ac:dyDescent="0.25">
      <c r="A18" s="637" t="s">
        <v>507</v>
      </c>
      <c r="B18" s="629" t="s">
        <v>508</v>
      </c>
      <c r="C18" s="638">
        <f>836700+629700</f>
        <v>1466400</v>
      </c>
    </row>
    <row r="19" spans="1:6" ht="36.75" customHeight="1" x14ac:dyDescent="0.25">
      <c r="A19" s="635" t="s">
        <v>509</v>
      </c>
      <c r="B19" s="71" t="s">
        <v>337</v>
      </c>
      <c r="C19" s="636">
        <f>C20</f>
        <v>784740</v>
      </c>
    </row>
    <row r="20" spans="1:6" ht="21" customHeight="1" x14ac:dyDescent="0.25">
      <c r="A20" s="637" t="s">
        <v>507</v>
      </c>
      <c r="B20" s="629" t="s">
        <v>508</v>
      </c>
      <c r="C20" s="638">
        <v>784740</v>
      </c>
    </row>
    <row r="21" spans="1:6" ht="58.5" customHeight="1" x14ac:dyDescent="0.25">
      <c r="A21" s="635" t="s">
        <v>510</v>
      </c>
      <c r="B21" s="71" t="s">
        <v>339</v>
      </c>
      <c r="C21" s="636">
        <f>C22</f>
        <v>619585</v>
      </c>
    </row>
    <row r="22" spans="1:6" ht="21" customHeight="1" x14ac:dyDescent="0.25">
      <c r="A22" s="637" t="s">
        <v>507</v>
      </c>
      <c r="B22" s="629" t="s">
        <v>508</v>
      </c>
      <c r="C22" s="638">
        <v>619585</v>
      </c>
    </row>
    <row r="23" spans="1:6" ht="52.5" customHeight="1" x14ac:dyDescent="0.25">
      <c r="A23" s="635">
        <v>41051400</v>
      </c>
      <c r="B23" s="789" t="s">
        <v>340</v>
      </c>
      <c r="C23" s="636">
        <f>C24</f>
        <v>666841</v>
      </c>
    </row>
    <row r="24" spans="1:6" ht="21.75" customHeight="1" x14ac:dyDescent="0.25">
      <c r="A24" s="637" t="s">
        <v>507</v>
      </c>
      <c r="B24" s="629" t="s">
        <v>508</v>
      </c>
      <c r="C24" s="638">
        <v>666841</v>
      </c>
    </row>
    <row r="25" spans="1:6" ht="23.25" customHeight="1" x14ac:dyDescent="0.25">
      <c r="A25" s="635" t="s">
        <v>511</v>
      </c>
      <c r="B25" s="628" t="s">
        <v>342</v>
      </c>
      <c r="C25" s="636">
        <f>C26+C27+C46+C66+C43+C81+C95</f>
        <v>5063782</v>
      </c>
      <c r="D25" s="491">
        <f>C25-'[1]Дод 1'!D93</f>
        <v>2208482</v>
      </c>
    </row>
    <row r="26" spans="1:6" ht="21" customHeight="1" x14ac:dyDescent="0.25">
      <c r="A26" s="639">
        <v>11314200000</v>
      </c>
      <c r="B26" s="629" t="s">
        <v>675</v>
      </c>
      <c r="C26" s="640"/>
    </row>
    <row r="27" spans="1:6" ht="28.5" customHeight="1" x14ac:dyDescent="0.25">
      <c r="A27" s="635" t="s">
        <v>669</v>
      </c>
      <c r="B27" s="768" t="s">
        <v>657</v>
      </c>
      <c r="C27" s="636">
        <f>C31+C29+C28</f>
        <v>1331459</v>
      </c>
    </row>
    <row r="28" spans="1:6" ht="41.25" customHeight="1" x14ac:dyDescent="0.25">
      <c r="A28" s="827" t="s">
        <v>695</v>
      </c>
      <c r="B28" s="699" t="s">
        <v>711</v>
      </c>
      <c r="C28" s="702">
        <v>44143</v>
      </c>
      <c r="F28" s="792"/>
    </row>
    <row r="29" spans="1:6" ht="33" customHeight="1" x14ac:dyDescent="0.25">
      <c r="A29" s="827" t="s">
        <v>695</v>
      </c>
      <c r="B29" s="699" t="s">
        <v>773</v>
      </c>
      <c r="C29" s="641">
        <f>C30</f>
        <v>200000</v>
      </c>
    </row>
    <row r="30" spans="1:6" ht="23.25" customHeight="1" x14ac:dyDescent="0.25">
      <c r="A30" s="700"/>
      <c r="B30" s="701" t="s">
        <v>696</v>
      </c>
      <c r="C30" s="641">
        <f>200000</f>
        <v>200000</v>
      </c>
    </row>
    <row r="31" spans="1:6" ht="36.75" customHeight="1" x14ac:dyDescent="0.25">
      <c r="A31" s="827" t="s">
        <v>695</v>
      </c>
      <c r="B31" s="699" t="s">
        <v>776</v>
      </c>
      <c r="C31" s="702">
        <f>C32+C33+C34+C35+C36+C37+C39+C40+C41+C42</f>
        <v>1087316</v>
      </c>
    </row>
    <row r="32" spans="1:6" ht="21.75" customHeight="1" x14ac:dyDescent="0.25">
      <c r="A32" s="700"/>
      <c r="B32" s="701" t="s">
        <v>696</v>
      </c>
      <c r="C32" s="702">
        <f>96563+15000</f>
        <v>111563</v>
      </c>
    </row>
    <row r="33" spans="1:3" ht="39" customHeight="1" x14ac:dyDescent="0.25">
      <c r="A33" s="700"/>
      <c r="B33" s="699" t="s">
        <v>698</v>
      </c>
      <c r="C33" s="702">
        <f>840410+10980+18300</f>
        <v>869690</v>
      </c>
    </row>
    <row r="34" spans="1:3" ht="17.25" customHeight="1" x14ac:dyDescent="0.25">
      <c r="A34" s="700"/>
      <c r="B34" s="701" t="s">
        <v>703</v>
      </c>
      <c r="C34" s="702">
        <v>5000</v>
      </c>
    </row>
    <row r="35" spans="1:3" ht="21" customHeight="1" x14ac:dyDescent="0.25">
      <c r="A35" s="700"/>
      <c r="B35" s="699" t="s">
        <v>704</v>
      </c>
      <c r="C35" s="702">
        <v>20000</v>
      </c>
    </row>
    <row r="36" spans="1:3" ht="40.5" customHeight="1" x14ac:dyDescent="0.25">
      <c r="A36" s="700"/>
      <c r="B36" s="699" t="s">
        <v>856</v>
      </c>
      <c r="C36" s="702">
        <f>12000+6036</f>
        <v>18036</v>
      </c>
    </row>
    <row r="37" spans="1:3" ht="42.75" customHeight="1" x14ac:dyDescent="0.25">
      <c r="A37" s="700"/>
      <c r="B37" s="699" t="s">
        <v>706</v>
      </c>
      <c r="C37" s="702">
        <v>1800</v>
      </c>
    </row>
    <row r="38" spans="1:3" ht="15.75" hidden="1" customHeight="1" x14ac:dyDescent="0.25">
      <c r="A38" s="700"/>
      <c r="B38" s="701"/>
      <c r="C38" s="702"/>
    </row>
    <row r="39" spans="1:3" ht="33.75" customHeight="1" x14ac:dyDescent="0.25">
      <c r="A39" s="700"/>
      <c r="B39" s="699" t="s">
        <v>701</v>
      </c>
      <c r="C39" s="702">
        <v>2000</v>
      </c>
    </row>
    <row r="40" spans="1:3" ht="21" customHeight="1" x14ac:dyDescent="0.25">
      <c r="A40" s="700"/>
      <c r="B40" s="701" t="s">
        <v>707</v>
      </c>
      <c r="C40" s="702">
        <v>15000</v>
      </c>
    </row>
    <row r="41" spans="1:3" ht="21" customHeight="1" x14ac:dyDescent="0.25">
      <c r="A41" s="700"/>
      <c r="B41" s="701" t="s">
        <v>708</v>
      </c>
      <c r="C41" s="702">
        <v>5000</v>
      </c>
    </row>
    <row r="42" spans="1:3" ht="23.25" customHeight="1" x14ac:dyDescent="0.25">
      <c r="A42" s="700"/>
      <c r="B42" s="701" t="s">
        <v>709</v>
      </c>
      <c r="C42" s="702">
        <f>7527+31700</f>
        <v>39227</v>
      </c>
    </row>
    <row r="43" spans="1:3" ht="21.75" customHeight="1" x14ac:dyDescent="0.25">
      <c r="A43" s="703" t="s">
        <v>670</v>
      </c>
      <c r="B43" s="704" t="s">
        <v>752</v>
      </c>
      <c r="C43" s="705">
        <f>C44</f>
        <v>200000</v>
      </c>
    </row>
    <row r="44" spans="1:3" ht="40.5" customHeight="1" x14ac:dyDescent="0.25">
      <c r="A44" s="827" t="s">
        <v>695</v>
      </c>
      <c r="B44" s="699" t="s">
        <v>773</v>
      </c>
      <c r="C44" s="702">
        <f>C45</f>
        <v>200000</v>
      </c>
    </row>
    <row r="45" spans="1:3" ht="24.75" customHeight="1" x14ac:dyDescent="0.25">
      <c r="A45" s="700"/>
      <c r="B45" s="701" t="s">
        <v>697</v>
      </c>
      <c r="C45" s="702">
        <v>200000</v>
      </c>
    </row>
    <row r="46" spans="1:3" ht="25.5" customHeight="1" x14ac:dyDescent="0.25">
      <c r="A46" s="642" t="s">
        <v>512</v>
      </c>
      <c r="B46" s="704" t="s">
        <v>513</v>
      </c>
      <c r="C46" s="706">
        <f>C47+C50+C52</f>
        <v>612605</v>
      </c>
    </row>
    <row r="47" spans="1:3" ht="36.75" customHeight="1" x14ac:dyDescent="0.25">
      <c r="A47" s="827" t="s">
        <v>695</v>
      </c>
      <c r="B47" s="699" t="s">
        <v>711</v>
      </c>
      <c r="C47" s="641">
        <v>30000</v>
      </c>
    </row>
    <row r="48" spans="1:3" ht="15.75" hidden="1" customHeight="1" x14ac:dyDescent="0.25">
      <c r="A48" s="707"/>
      <c r="B48" s="701"/>
      <c r="C48" s="641"/>
    </row>
    <row r="49" spans="1:3" ht="15.75" hidden="1" customHeight="1" x14ac:dyDescent="0.25">
      <c r="A49" s="827"/>
      <c r="B49" s="701"/>
      <c r="C49" s="641"/>
    </row>
    <row r="50" spans="1:3" ht="37.5" customHeight="1" x14ac:dyDescent="0.25">
      <c r="A50" s="827" t="s">
        <v>695</v>
      </c>
      <c r="B50" s="699" t="s">
        <v>773</v>
      </c>
      <c r="C50" s="641">
        <f>C51</f>
        <v>240000</v>
      </c>
    </row>
    <row r="51" spans="1:3" ht="17.25" customHeight="1" x14ac:dyDescent="0.25">
      <c r="A51" s="827"/>
      <c r="B51" s="701" t="s">
        <v>696</v>
      </c>
      <c r="C51" s="641">
        <f>200000+40000</f>
        <v>240000</v>
      </c>
    </row>
    <row r="52" spans="1:3" ht="37.5" customHeight="1" x14ac:dyDescent="0.25">
      <c r="A52" s="827" t="s">
        <v>695</v>
      </c>
      <c r="B52" s="699" t="s">
        <v>776</v>
      </c>
      <c r="C52" s="641">
        <f>SUM(C53:C63)</f>
        <v>342605</v>
      </c>
    </row>
    <row r="53" spans="1:3" ht="21" customHeight="1" x14ac:dyDescent="0.25">
      <c r="A53" s="827"/>
      <c r="B53" s="701" t="s">
        <v>696</v>
      </c>
      <c r="C53" s="641">
        <v>9050</v>
      </c>
    </row>
    <row r="54" spans="1:3" ht="40.5" customHeight="1" x14ac:dyDescent="0.25">
      <c r="A54" s="827"/>
      <c r="B54" s="699" t="s">
        <v>698</v>
      </c>
      <c r="C54" s="641">
        <f>189950+68000</f>
        <v>257950</v>
      </c>
    </row>
    <row r="55" spans="1:3" ht="23.25" customHeight="1" x14ac:dyDescent="0.25">
      <c r="A55" s="827"/>
      <c r="B55" s="701" t="s">
        <v>702</v>
      </c>
      <c r="C55" s="641">
        <v>1000</v>
      </c>
    </row>
    <row r="56" spans="1:3" ht="18" customHeight="1" x14ac:dyDescent="0.25">
      <c r="A56" s="827"/>
      <c r="B56" s="701" t="s">
        <v>703</v>
      </c>
      <c r="C56" s="641">
        <v>5000</v>
      </c>
    </row>
    <row r="57" spans="1:3" ht="23.25" customHeight="1" x14ac:dyDescent="0.25">
      <c r="A57" s="827"/>
      <c r="B57" s="699" t="s">
        <v>704</v>
      </c>
      <c r="C57" s="641">
        <v>5000</v>
      </c>
    </row>
    <row r="58" spans="1:3" ht="37.5" customHeight="1" x14ac:dyDescent="0.25">
      <c r="A58" s="827"/>
      <c r="B58" s="699" t="s">
        <v>705</v>
      </c>
      <c r="C58" s="641">
        <f>3000+3000</f>
        <v>6000</v>
      </c>
    </row>
    <row r="59" spans="1:3" ht="33" customHeight="1" x14ac:dyDescent="0.25">
      <c r="A59" s="827"/>
      <c r="B59" s="699" t="s">
        <v>706</v>
      </c>
      <c r="C59" s="641">
        <v>1000</v>
      </c>
    </row>
    <row r="60" spans="1:3" ht="41.25" customHeight="1" x14ac:dyDescent="0.25">
      <c r="A60" s="827"/>
      <c r="B60" s="699" t="s">
        <v>701</v>
      </c>
      <c r="C60" s="641">
        <v>1000</v>
      </c>
    </row>
    <row r="61" spans="1:3" ht="19.5" customHeight="1" x14ac:dyDescent="0.25">
      <c r="A61" s="827"/>
      <c r="B61" s="701" t="s">
        <v>784</v>
      </c>
      <c r="C61" s="641">
        <v>1200</v>
      </c>
    </row>
    <row r="62" spans="1:3" ht="52.5" customHeight="1" x14ac:dyDescent="0.25">
      <c r="A62" s="827"/>
      <c r="B62" s="699" t="s">
        <v>785</v>
      </c>
      <c r="C62" s="641">
        <v>5405</v>
      </c>
    </row>
    <row r="63" spans="1:3" ht="21.75" customHeight="1" x14ac:dyDescent="0.25">
      <c r="A63" s="827"/>
      <c r="B63" s="701" t="s">
        <v>946</v>
      </c>
      <c r="C63" s="641">
        <v>50000</v>
      </c>
    </row>
    <row r="64" spans="1:3" ht="15.75" hidden="1" customHeight="1" x14ac:dyDescent="0.25">
      <c r="A64" s="827"/>
      <c r="B64" s="701"/>
      <c r="C64" s="641"/>
    </row>
    <row r="65" spans="1:6" ht="15.75" hidden="1" customHeight="1" x14ac:dyDescent="0.25">
      <c r="A65" s="827"/>
      <c r="B65" s="701"/>
      <c r="C65" s="641"/>
    </row>
    <row r="66" spans="1:6" ht="23.25" customHeight="1" x14ac:dyDescent="0.25">
      <c r="A66" s="642" t="s">
        <v>514</v>
      </c>
      <c r="B66" s="704" t="s">
        <v>515</v>
      </c>
      <c r="C66" s="706">
        <f>C67+C68+C69+C71</f>
        <v>1706018</v>
      </c>
      <c r="D66" s="592"/>
    </row>
    <row r="67" spans="1:6" ht="39.75" customHeight="1" x14ac:dyDescent="0.25">
      <c r="A67" s="827" t="s">
        <v>695</v>
      </c>
      <c r="B67" s="699" t="s">
        <v>711</v>
      </c>
      <c r="C67" s="641">
        <v>84600</v>
      </c>
      <c r="D67" s="605"/>
    </row>
    <row r="68" spans="1:6" ht="41.25" customHeight="1" x14ac:dyDescent="0.25">
      <c r="A68" s="827"/>
      <c r="B68" s="699" t="s">
        <v>710</v>
      </c>
      <c r="C68" s="641">
        <v>244500</v>
      </c>
      <c r="D68" s="605"/>
    </row>
    <row r="69" spans="1:6" ht="40.5" customHeight="1" x14ac:dyDescent="0.25">
      <c r="A69" s="827" t="s">
        <v>695</v>
      </c>
      <c r="B69" s="699" t="s">
        <v>773</v>
      </c>
      <c r="C69" s="641">
        <f>C70</f>
        <v>200000</v>
      </c>
    </row>
    <row r="70" spans="1:6" ht="18" customHeight="1" x14ac:dyDescent="0.25">
      <c r="A70" s="827"/>
      <c r="B70" s="701" t="s">
        <v>696</v>
      </c>
      <c r="C70" s="641">
        <f>600000-400000</f>
        <v>200000</v>
      </c>
    </row>
    <row r="71" spans="1:6" ht="35.25" customHeight="1" x14ac:dyDescent="0.25">
      <c r="A71" s="827" t="s">
        <v>695</v>
      </c>
      <c r="B71" s="699" t="s">
        <v>776</v>
      </c>
      <c r="C71" s="641">
        <f>C72+C73+C74+C75+C76+C77+C78+C80+C79</f>
        <v>1176918</v>
      </c>
      <c r="F71" s="260">
        <v>1301485</v>
      </c>
    </row>
    <row r="72" spans="1:6" ht="24.75" customHeight="1" x14ac:dyDescent="0.25">
      <c r="A72" s="827"/>
      <c r="B72" s="701" t="s">
        <v>696</v>
      </c>
      <c r="C72" s="641">
        <f>260000+20000+150000</f>
        <v>430000</v>
      </c>
      <c r="F72" s="491">
        <f>410000-C72</f>
        <v>-20000</v>
      </c>
    </row>
    <row r="73" spans="1:6" ht="40.5" customHeight="1" x14ac:dyDescent="0.25">
      <c r="A73" s="827"/>
      <c r="B73" s="699" t="s">
        <v>698</v>
      </c>
      <c r="C73" s="641">
        <f>330000+80000+200000</f>
        <v>610000</v>
      </c>
      <c r="F73" s="491">
        <f>530000-C73</f>
        <v>-80000</v>
      </c>
    </row>
    <row r="74" spans="1:6" ht="33.75" customHeight="1" x14ac:dyDescent="0.25">
      <c r="A74" s="827"/>
      <c r="B74" s="699" t="s">
        <v>705</v>
      </c>
      <c r="C74" s="641">
        <f>15000+20433</f>
        <v>35433</v>
      </c>
      <c r="F74" s="491">
        <f>60000-C74</f>
        <v>24567</v>
      </c>
    </row>
    <row r="75" spans="1:6" ht="41.25" customHeight="1" x14ac:dyDescent="0.25">
      <c r="A75" s="827"/>
      <c r="B75" s="699" t="s">
        <v>701</v>
      </c>
      <c r="C75" s="641">
        <v>3000</v>
      </c>
      <c r="F75" s="260">
        <f>1050000+120433+6485</f>
        <v>1176918</v>
      </c>
    </row>
    <row r="76" spans="1:6" ht="24.75" customHeight="1" x14ac:dyDescent="0.25">
      <c r="A76" s="827"/>
      <c r="B76" s="701" t="s">
        <v>703</v>
      </c>
      <c r="C76" s="641">
        <v>7000</v>
      </c>
      <c r="F76" s="491">
        <f>C71-F75</f>
        <v>0</v>
      </c>
    </row>
    <row r="77" spans="1:6" ht="24.75" customHeight="1" x14ac:dyDescent="0.25">
      <c r="A77" s="827"/>
      <c r="B77" s="699" t="s">
        <v>704</v>
      </c>
      <c r="C77" s="641">
        <v>30000</v>
      </c>
    </row>
    <row r="78" spans="1:6" ht="39" customHeight="1" x14ac:dyDescent="0.25">
      <c r="A78" s="827"/>
      <c r="B78" s="699" t="s">
        <v>706</v>
      </c>
      <c r="C78" s="641">
        <v>5000</v>
      </c>
    </row>
    <row r="79" spans="1:6" ht="58.5" customHeight="1" x14ac:dyDescent="0.25">
      <c r="A79" s="827"/>
      <c r="B79" s="699" t="s">
        <v>785</v>
      </c>
      <c r="C79" s="641">
        <v>6485</v>
      </c>
    </row>
    <row r="80" spans="1:6" ht="23.25" customHeight="1" x14ac:dyDescent="0.25">
      <c r="A80" s="827"/>
      <c r="B80" s="701" t="s">
        <v>946</v>
      </c>
      <c r="C80" s="641">
        <v>50000</v>
      </c>
    </row>
    <row r="81" spans="1:5" ht="21.75" customHeight="1" x14ac:dyDescent="0.25">
      <c r="A81" s="642">
        <v>11505000000</v>
      </c>
      <c r="B81" s="704" t="s">
        <v>753</v>
      </c>
      <c r="C81" s="706">
        <f>C83+C82</f>
        <v>193700</v>
      </c>
    </row>
    <row r="82" spans="1:5" ht="39" customHeight="1" x14ac:dyDescent="0.25">
      <c r="A82" s="827" t="s">
        <v>695</v>
      </c>
      <c r="B82" s="699" t="s">
        <v>711</v>
      </c>
      <c r="C82" s="641">
        <v>6700</v>
      </c>
      <c r="E82" s="491">
        <f>C82+C67+C47+C28</f>
        <v>165443</v>
      </c>
    </row>
    <row r="83" spans="1:5" ht="35.25" customHeight="1" x14ac:dyDescent="0.25">
      <c r="A83" s="827" t="s">
        <v>695</v>
      </c>
      <c r="B83" s="699" t="s">
        <v>776</v>
      </c>
      <c r="C83" s="702">
        <f>C84+C85+C86+C87+C88+C89+C91+C92+C93+C94</f>
        <v>187000</v>
      </c>
      <c r="E83" s="491">
        <f>C83+C31+C52+C71</f>
        <v>2793839</v>
      </c>
    </row>
    <row r="84" spans="1:5" ht="21.75" customHeight="1" x14ac:dyDescent="0.25">
      <c r="A84" s="827"/>
      <c r="B84" s="701" t="s">
        <v>696</v>
      </c>
      <c r="C84" s="702">
        <v>5344</v>
      </c>
      <c r="E84" s="491">
        <f>C69+C50+C44+C29</f>
        <v>840000</v>
      </c>
    </row>
    <row r="85" spans="1:5" ht="39" customHeight="1" x14ac:dyDescent="0.25">
      <c r="A85" s="827"/>
      <c r="B85" s="699" t="s">
        <v>760</v>
      </c>
      <c r="C85" s="702">
        <v>158750</v>
      </c>
      <c r="E85" s="491">
        <f>C68</f>
        <v>244500</v>
      </c>
    </row>
    <row r="86" spans="1:5" ht="21" customHeight="1" x14ac:dyDescent="0.25">
      <c r="A86" s="827"/>
      <c r="B86" s="701" t="s">
        <v>703</v>
      </c>
      <c r="C86" s="702">
        <v>500</v>
      </c>
    </row>
    <row r="87" spans="1:5" ht="21.75" customHeight="1" x14ac:dyDescent="0.25">
      <c r="A87" s="827"/>
      <c r="B87" s="699" t="s">
        <v>704</v>
      </c>
      <c r="C87" s="702">
        <v>1000</v>
      </c>
    </row>
    <row r="88" spans="1:5" ht="37.5" customHeight="1" x14ac:dyDescent="0.25">
      <c r="A88" s="827"/>
      <c r="B88" s="699" t="s">
        <v>705</v>
      </c>
      <c r="C88" s="702">
        <v>9600</v>
      </c>
    </row>
    <row r="89" spans="1:5" ht="39" customHeight="1" x14ac:dyDescent="0.25">
      <c r="A89" s="827"/>
      <c r="B89" s="699" t="s">
        <v>706</v>
      </c>
      <c r="C89" s="702">
        <v>9600</v>
      </c>
    </row>
    <row r="90" spans="1:5" ht="15.75" hidden="1" customHeight="1" x14ac:dyDescent="0.25">
      <c r="A90" s="827"/>
      <c r="B90" s="701"/>
      <c r="C90" s="702"/>
    </row>
    <row r="91" spans="1:5" ht="15.75" hidden="1" customHeight="1" x14ac:dyDescent="0.25">
      <c r="A91" s="827"/>
      <c r="B91" s="699" t="s">
        <v>701</v>
      </c>
      <c r="C91" s="702"/>
    </row>
    <row r="92" spans="1:5" ht="21" customHeight="1" x14ac:dyDescent="0.25">
      <c r="A92" s="827"/>
      <c r="B92" s="701" t="s">
        <v>707</v>
      </c>
      <c r="C92" s="702">
        <v>1500</v>
      </c>
    </row>
    <row r="93" spans="1:5" ht="19.5" customHeight="1" x14ac:dyDescent="0.25">
      <c r="A93" s="827"/>
      <c r="B93" s="701" t="s">
        <v>708</v>
      </c>
      <c r="C93" s="702">
        <v>200</v>
      </c>
    </row>
    <row r="94" spans="1:5" ht="28.5" customHeight="1" x14ac:dyDescent="0.25">
      <c r="A94" s="827"/>
      <c r="B94" s="701" t="s">
        <v>709</v>
      </c>
      <c r="C94" s="702">
        <v>506</v>
      </c>
    </row>
    <row r="95" spans="1:5" ht="21.75" customHeight="1" x14ac:dyDescent="0.25">
      <c r="A95" s="703">
        <v>11314200000</v>
      </c>
      <c r="B95" s="704" t="s">
        <v>675</v>
      </c>
      <c r="C95" s="705">
        <f>C96+C97</f>
        <v>1020000</v>
      </c>
    </row>
    <row r="96" spans="1:5" ht="42.75" customHeight="1" x14ac:dyDescent="0.25">
      <c r="A96" s="827" t="s">
        <v>695</v>
      </c>
      <c r="B96" s="699" t="s">
        <v>786</v>
      </c>
      <c r="C96" s="641">
        <v>20000</v>
      </c>
    </row>
    <row r="97" spans="1:3" ht="36.75" customHeight="1" x14ac:dyDescent="0.25">
      <c r="A97" s="827"/>
      <c r="B97" s="699" t="s">
        <v>773</v>
      </c>
      <c r="C97" s="641">
        <f>C98+C99</f>
        <v>1000000</v>
      </c>
    </row>
    <row r="98" spans="1:3" ht="21.75" customHeight="1" x14ac:dyDescent="0.25">
      <c r="A98" s="827"/>
      <c r="B98" s="699" t="s">
        <v>840</v>
      </c>
      <c r="C98" s="641">
        <v>750000</v>
      </c>
    </row>
    <row r="99" spans="1:3" ht="36.75" customHeight="1" x14ac:dyDescent="0.25">
      <c r="A99" s="827"/>
      <c r="B99" s="699" t="s">
        <v>841</v>
      </c>
      <c r="C99" s="641">
        <v>250000</v>
      </c>
    </row>
    <row r="100" spans="1:3" ht="52.5" customHeight="1" x14ac:dyDescent="0.25">
      <c r="A100" s="703" t="s">
        <v>516</v>
      </c>
      <c r="B100" s="708" t="s">
        <v>517</v>
      </c>
      <c r="C100" s="705">
        <f>C101</f>
        <v>926700</v>
      </c>
    </row>
    <row r="101" spans="1:3" ht="21" customHeight="1" x14ac:dyDescent="0.25">
      <c r="A101" s="827" t="s">
        <v>507</v>
      </c>
      <c r="B101" s="701" t="s">
        <v>508</v>
      </c>
      <c r="C101" s="641">
        <f>617800+308900</f>
        <v>926700</v>
      </c>
    </row>
    <row r="102" spans="1:3" ht="32.25" customHeight="1" x14ac:dyDescent="0.25">
      <c r="A102" s="902" t="s">
        <v>518</v>
      </c>
      <c r="B102" s="903"/>
      <c r="C102" s="904"/>
    </row>
    <row r="103" spans="1:3" ht="15.75" hidden="1" customHeight="1" x14ac:dyDescent="0.25">
      <c r="A103" s="703" t="s">
        <v>329</v>
      </c>
      <c r="B103" s="709" t="s">
        <v>503</v>
      </c>
      <c r="C103" s="705">
        <v>0</v>
      </c>
    </row>
    <row r="104" spans="1:3" ht="15.75" hidden="1" customHeight="1" x14ac:dyDescent="0.25">
      <c r="A104" s="827" t="s">
        <v>504</v>
      </c>
      <c r="B104" s="710" t="s">
        <v>505</v>
      </c>
      <c r="C104" s="641">
        <v>0</v>
      </c>
    </row>
    <row r="105" spans="1:3" ht="15.75" hidden="1" customHeight="1" x14ac:dyDescent="0.25">
      <c r="A105" s="703" t="s">
        <v>506</v>
      </c>
      <c r="B105" s="709" t="s">
        <v>334</v>
      </c>
      <c r="C105" s="705">
        <v>0</v>
      </c>
    </row>
    <row r="106" spans="1:3" ht="15.75" hidden="1" customHeight="1" x14ac:dyDescent="0.25">
      <c r="A106" s="827" t="s">
        <v>507</v>
      </c>
      <c r="B106" s="710" t="s">
        <v>508</v>
      </c>
      <c r="C106" s="641">
        <v>0</v>
      </c>
    </row>
    <row r="107" spans="1:3" ht="15.75" hidden="1" customHeight="1" x14ac:dyDescent="0.25">
      <c r="A107" s="703" t="s">
        <v>509</v>
      </c>
      <c r="B107" s="709" t="s">
        <v>337</v>
      </c>
      <c r="C107" s="705">
        <v>0</v>
      </c>
    </row>
    <row r="108" spans="1:3" ht="15.75" hidden="1" customHeight="1" x14ac:dyDescent="0.25">
      <c r="A108" s="827" t="s">
        <v>507</v>
      </c>
      <c r="B108" s="710" t="s">
        <v>508</v>
      </c>
      <c r="C108" s="641">
        <v>0</v>
      </c>
    </row>
    <row r="109" spans="1:3" ht="15.75" hidden="1" customHeight="1" x14ac:dyDescent="0.25">
      <c r="A109" s="703" t="s">
        <v>510</v>
      </c>
      <c r="B109" s="709" t="s">
        <v>339</v>
      </c>
      <c r="C109" s="705">
        <v>0</v>
      </c>
    </row>
    <row r="110" spans="1:3" ht="30.75" customHeight="1" x14ac:dyDescent="0.25">
      <c r="A110" s="827" t="s">
        <v>507</v>
      </c>
      <c r="B110" s="710" t="s">
        <v>508</v>
      </c>
      <c r="C110" s="641">
        <v>0</v>
      </c>
    </row>
    <row r="111" spans="1:3" ht="31.5" customHeight="1" x14ac:dyDescent="0.25">
      <c r="A111" s="703" t="s">
        <v>511</v>
      </c>
      <c r="B111" s="709" t="s">
        <v>342</v>
      </c>
      <c r="C111" s="705">
        <f>C112</f>
        <v>1259179</v>
      </c>
    </row>
    <row r="112" spans="1:3" ht="23.25" customHeight="1" x14ac:dyDescent="0.25">
      <c r="A112" s="700">
        <v>11314200000</v>
      </c>
      <c r="B112" s="701" t="s">
        <v>675</v>
      </c>
      <c r="C112" s="702">
        <v>1259179</v>
      </c>
    </row>
    <row r="113" spans="1:3" ht="39" customHeight="1" x14ac:dyDescent="0.25">
      <c r="A113" s="827" t="s">
        <v>694</v>
      </c>
      <c r="B113" s="699" t="s">
        <v>773</v>
      </c>
      <c r="C113" s="702">
        <v>1259179</v>
      </c>
    </row>
    <row r="114" spans="1:3" ht="35.450000000000003" customHeight="1" x14ac:dyDescent="0.25">
      <c r="A114" s="827" t="s">
        <v>694</v>
      </c>
      <c r="B114" s="699" t="s">
        <v>774</v>
      </c>
      <c r="C114" s="702">
        <v>1259179</v>
      </c>
    </row>
    <row r="115" spans="1:3" ht="15.75" hidden="1" customHeight="1" x14ac:dyDescent="0.25">
      <c r="A115" s="703" t="s">
        <v>516</v>
      </c>
      <c r="B115" s="709" t="s">
        <v>517</v>
      </c>
      <c r="C115" s="705">
        <v>0</v>
      </c>
    </row>
    <row r="116" spans="1:3" ht="27" customHeight="1" x14ac:dyDescent="0.25">
      <c r="A116" s="827" t="s">
        <v>507</v>
      </c>
      <c r="B116" s="710" t="s">
        <v>508</v>
      </c>
      <c r="C116" s="641">
        <v>0</v>
      </c>
    </row>
    <row r="117" spans="1:3" ht="21" customHeight="1" x14ac:dyDescent="0.25">
      <c r="A117" s="711" t="s">
        <v>183</v>
      </c>
      <c r="B117" s="712" t="s">
        <v>519</v>
      </c>
      <c r="C117" s="713">
        <f>C118+C119</f>
        <v>63596502</v>
      </c>
    </row>
    <row r="118" spans="1:3" ht="21.75" customHeight="1" x14ac:dyDescent="0.25">
      <c r="A118" s="711" t="s">
        <v>183</v>
      </c>
      <c r="B118" s="712" t="s">
        <v>494</v>
      </c>
      <c r="C118" s="713">
        <f>C13+C17+C19+C21+C25+C100+C15+C23</f>
        <v>62337323</v>
      </c>
    </row>
    <row r="119" spans="1:3" ht="29.25" customHeight="1" thickBot="1" x14ac:dyDescent="0.3">
      <c r="A119" s="714" t="s">
        <v>183</v>
      </c>
      <c r="B119" s="715" t="s">
        <v>495</v>
      </c>
      <c r="C119" s="716">
        <f>C111</f>
        <v>1259179</v>
      </c>
    </row>
    <row r="120" spans="1:3" x14ac:dyDescent="0.25">
      <c r="A120" s="717"/>
      <c r="B120" s="717"/>
      <c r="C120" s="717"/>
    </row>
    <row r="121" spans="1:3" ht="21.95" customHeight="1" thickBot="1" x14ac:dyDescent="0.3">
      <c r="A121" s="741" t="s">
        <v>520</v>
      </c>
      <c r="B121" s="717"/>
      <c r="C121" s="718" t="s">
        <v>499</v>
      </c>
    </row>
    <row r="122" spans="1:3" ht="99.75" customHeight="1" x14ac:dyDescent="0.25">
      <c r="A122" s="719" t="s">
        <v>521</v>
      </c>
      <c r="B122" s="720" t="s">
        <v>522</v>
      </c>
      <c r="C122" s="721" t="s">
        <v>10</v>
      </c>
    </row>
    <row r="123" spans="1:3" x14ac:dyDescent="0.25">
      <c r="A123" s="722">
        <v>1</v>
      </c>
      <c r="B123" s="723">
        <v>2</v>
      </c>
      <c r="C123" s="724">
        <v>4</v>
      </c>
    </row>
    <row r="124" spans="1:3" ht="21.75" customHeight="1" x14ac:dyDescent="0.25">
      <c r="A124" s="902" t="s">
        <v>502</v>
      </c>
      <c r="B124" s="903"/>
      <c r="C124" s="904"/>
    </row>
    <row r="125" spans="1:3" ht="15.75" hidden="1" customHeight="1" x14ac:dyDescent="0.25">
      <c r="A125" s="824"/>
      <c r="B125" s="825"/>
      <c r="C125" s="826">
        <v>0</v>
      </c>
    </row>
    <row r="126" spans="1:3" ht="25.5" customHeight="1" x14ac:dyDescent="0.25">
      <c r="A126" s="905" t="s">
        <v>518</v>
      </c>
      <c r="B126" s="903"/>
      <c r="C126" s="904"/>
    </row>
    <row r="127" spans="1:3" ht="28.5" customHeight="1" x14ac:dyDescent="0.25">
      <c r="A127" s="642" t="s">
        <v>748</v>
      </c>
      <c r="B127" s="742">
        <v>9770</v>
      </c>
      <c r="C127" s="743">
        <f>C128+C131</f>
        <v>782376</v>
      </c>
    </row>
    <row r="128" spans="1:3" ht="25.5" customHeight="1" x14ac:dyDescent="0.25">
      <c r="A128" s="642" t="s">
        <v>507</v>
      </c>
      <c r="B128" s="704" t="s">
        <v>508</v>
      </c>
      <c r="C128" s="743">
        <f>C129+C130</f>
        <v>732376</v>
      </c>
    </row>
    <row r="129" spans="1:8" ht="46.5" customHeight="1" x14ac:dyDescent="0.25">
      <c r="A129" s="827"/>
      <c r="B129" s="725" t="s">
        <v>764</v>
      </c>
      <c r="C129" s="826">
        <f>600000+20000</f>
        <v>620000</v>
      </c>
    </row>
    <row r="130" spans="1:8" ht="47.25" customHeight="1" x14ac:dyDescent="0.25">
      <c r="A130" s="827"/>
      <c r="B130" s="725" t="s">
        <v>993</v>
      </c>
      <c r="C130" s="826">
        <v>112376</v>
      </c>
    </row>
    <row r="131" spans="1:8" ht="60.75" customHeight="1" x14ac:dyDescent="0.25">
      <c r="A131" s="642">
        <v>11517000000</v>
      </c>
      <c r="B131" s="704" t="s">
        <v>807</v>
      </c>
      <c r="C131" s="826">
        <v>50000</v>
      </c>
    </row>
    <row r="132" spans="1:8" ht="57.75" customHeight="1" x14ac:dyDescent="0.25">
      <c r="A132" s="827"/>
      <c r="B132" s="725" t="s">
        <v>808</v>
      </c>
      <c r="C132" s="826">
        <v>50000</v>
      </c>
    </row>
    <row r="133" spans="1:8" ht="60.75" customHeight="1" x14ac:dyDescent="0.25">
      <c r="A133" s="642" t="s">
        <v>747</v>
      </c>
      <c r="B133" s="742">
        <v>9800</v>
      </c>
      <c r="C133" s="743">
        <f>C134+C135</f>
        <v>200000</v>
      </c>
    </row>
    <row r="134" spans="1:8" ht="84" customHeight="1" x14ac:dyDescent="0.25">
      <c r="A134" s="827"/>
      <c r="B134" s="725" t="s">
        <v>765</v>
      </c>
      <c r="C134" s="726">
        <v>100000</v>
      </c>
    </row>
    <row r="135" spans="1:8" ht="15.75" hidden="1" customHeight="1" x14ac:dyDescent="0.25">
      <c r="A135" s="827"/>
      <c r="B135" s="725" t="s">
        <v>766</v>
      </c>
      <c r="C135" s="726">
        <v>100000</v>
      </c>
    </row>
    <row r="136" spans="1:8" ht="15.75" hidden="1" customHeight="1" x14ac:dyDescent="0.25">
      <c r="A136" s="727" t="s">
        <v>183</v>
      </c>
      <c r="B136" s="728" t="s">
        <v>183</v>
      </c>
      <c r="C136" s="713"/>
    </row>
    <row r="137" spans="1:8" ht="15.75" hidden="1" customHeight="1" x14ac:dyDescent="0.25">
      <c r="A137" s="727" t="s">
        <v>183</v>
      </c>
      <c r="B137" s="728" t="s">
        <v>183</v>
      </c>
      <c r="C137" s="713"/>
    </row>
    <row r="138" spans="1:8" ht="21" customHeight="1" x14ac:dyDescent="0.25">
      <c r="A138" s="729" t="s">
        <v>183</v>
      </c>
      <c r="B138" s="730" t="s">
        <v>183</v>
      </c>
      <c r="C138" s="713"/>
    </row>
    <row r="139" spans="1:8" ht="19.5" customHeight="1" x14ac:dyDescent="0.25">
      <c r="A139" s="711" t="s">
        <v>183</v>
      </c>
      <c r="B139" s="712" t="s">
        <v>519</v>
      </c>
      <c r="C139" s="713">
        <f>C140+C141</f>
        <v>982376</v>
      </c>
    </row>
    <row r="140" spans="1:8" ht="25.5" customHeight="1" thickBot="1" x14ac:dyDescent="0.3">
      <c r="A140" s="711" t="s">
        <v>183</v>
      </c>
      <c r="B140" s="828" t="s">
        <v>494</v>
      </c>
      <c r="C140" s="713">
        <f>C125</f>
        <v>0</v>
      </c>
    </row>
    <row r="141" spans="1:8" ht="16.5" thickBot="1" x14ac:dyDescent="0.3">
      <c r="A141" s="829" t="s">
        <v>183</v>
      </c>
      <c r="B141" s="830" t="s">
        <v>495</v>
      </c>
      <c r="C141" s="831">
        <f>C133+C127</f>
        <v>982376</v>
      </c>
      <c r="F141" s="260" t="s">
        <v>953</v>
      </c>
      <c r="G141" s="260" t="s">
        <v>954</v>
      </c>
    </row>
    <row r="142" spans="1:8" x14ac:dyDescent="0.25">
      <c r="A142" s="832"/>
      <c r="B142" s="833"/>
      <c r="C142" s="834"/>
    </row>
    <row r="143" spans="1:8" x14ac:dyDescent="0.25">
      <c r="A143" s="832"/>
      <c r="B143" s="835"/>
      <c r="C143" s="834"/>
    </row>
    <row r="144" spans="1:8" ht="31.5" x14ac:dyDescent="0.25">
      <c r="B144" s="836" t="s">
        <v>773</v>
      </c>
      <c r="C144" s="491">
        <f>C29+C50+C69+C44+C97</f>
        <v>1840000</v>
      </c>
      <c r="F144" s="491">
        <f>C100</f>
        <v>926700</v>
      </c>
      <c r="G144" s="491">
        <f>C111</f>
        <v>1259179</v>
      </c>
      <c r="H144" s="491">
        <f>C144+F144+G144</f>
        <v>4025879</v>
      </c>
    </row>
    <row r="145" spans="2:3" ht="31.5" x14ac:dyDescent="0.25">
      <c r="B145" s="699" t="s">
        <v>776</v>
      </c>
      <c r="C145" s="491">
        <f>C31+C52+C71+C83</f>
        <v>2793839</v>
      </c>
    </row>
    <row r="146" spans="2:3" x14ac:dyDescent="0.25">
      <c r="B146" s="793" t="s">
        <v>295</v>
      </c>
      <c r="C146" s="491">
        <f>C144+C145</f>
        <v>4633839</v>
      </c>
    </row>
    <row r="147" spans="2:3" ht="31.5" x14ac:dyDescent="0.25">
      <c r="B147" s="699" t="s">
        <v>711</v>
      </c>
      <c r="C147" s="491">
        <f>C28+C47+C67+C82</f>
        <v>165443</v>
      </c>
    </row>
    <row r="148" spans="2:3" ht="31.5" x14ac:dyDescent="0.25">
      <c r="B148" s="699" t="s">
        <v>710</v>
      </c>
      <c r="C148" s="491">
        <f>C68</f>
        <v>244500</v>
      </c>
    </row>
    <row r="149" spans="2:3" ht="31.5" x14ac:dyDescent="0.25">
      <c r="B149" s="699" t="s">
        <v>786</v>
      </c>
      <c r="C149" s="491">
        <f>C96</f>
        <v>20000</v>
      </c>
    </row>
    <row r="150" spans="2:3" x14ac:dyDescent="0.25">
      <c r="B150" s="793" t="s">
        <v>295</v>
      </c>
      <c r="C150" s="491">
        <f>C147+C148+C149</f>
        <v>429943</v>
      </c>
    </row>
    <row r="152" spans="2:3" x14ac:dyDescent="0.25">
      <c r="B152" s="837"/>
    </row>
  </sheetData>
  <mergeCells count="7">
    <mergeCell ref="A102:C102"/>
    <mergeCell ref="A124:C124"/>
    <mergeCell ref="A126:C126"/>
    <mergeCell ref="A5:C5"/>
    <mergeCell ref="A6:C6"/>
    <mergeCell ref="A7:C7"/>
    <mergeCell ref="A12:C12"/>
  </mergeCells>
  <pageMargins left="1.1811023622047245" right="0.39370078740157483" top="0.78740157480314965" bottom="0.78740157480314965" header="0.31496062992125984" footer="0.31496062992125984"/>
  <pageSetup paperSize="9" scale="75"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28" activePane="bottomRight" state="frozen"/>
      <selection pane="topRight" activeCell="E1" sqref="E1"/>
      <selection pane="bottomLeft" activeCell="A14" sqref="A14"/>
      <selection pane="bottomRight" activeCell="H7" sqref="H7"/>
    </sheetView>
  </sheetViews>
  <sheetFormatPr defaultRowHeight="12.75" x14ac:dyDescent="0.2"/>
  <cols>
    <col min="1" max="1" width="13.85546875" style="264" customWidth="1"/>
    <col min="2" max="2" width="14.140625" style="265" customWidth="1"/>
    <col min="3" max="3" width="13.42578125" style="266" customWidth="1"/>
    <col min="4" max="4" width="60.85546875" style="267" customWidth="1"/>
    <col min="5" max="5" width="72.28515625" style="267" customWidth="1"/>
    <col min="6" max="6" width="23.5703125" style="268" customWidth="1"/>
    <col min="7" max="8" width="23.42578125" style="268" customWidth="1"/>
    <col min="9" max="9" width="25.140625" style="268" customWidth="1"/>
    <col min="10" max="10" width="22.42578125" style="268" hidden="1" customWidth="1"/>
    <col min="11" max="11" width="21.28515625" style="268" hidden="1" customWidth="1"/>
    <col min="12" max="12" width="25.7109375" style="268" hidden="1" customWidth="1"/>
    <col min="13" max="13" width="19.85546875" style="269" hidden="1" customWidth="1"/>
    <col min="14" max="14" width="30.5703125" style="269" customWidth="1"/>
    <col min="15" max="15" width="38.85546875" style="264" hidden="1" customWidth="1"/>
    <col min="16" max="256" width="9.140625" style="264"/>
    <col min="257" max="257" width="13.85546875" style="264" customWidth="1"/>
    <col min="258" max="258" width="14.140625" style="264" customWidth="1"/>
    <col min="259" max="259" width="13.42578125" style="264" customWidth="1"/>
    <col min="260" max="260" width="60.85546875" style="264" customWidth="1"/>
    <col min="261" max="261" width="72.28515625" style="264" customWidth="1"/>
    <col min="262" max="262" width="23.5703125" style="264" customWidth="1"/>
    <col min="263" max="264" width="23.42578125" style="264" customWidth="1"/>
    <col min="265" max="265" width="25.140625" style="264" customWidth="1"/>
    <col min="266" max="269" width="0" style="264" hidden="1" customWidth="1"/>
    <col min="270" max="270" width="30.5703125" style="264" customWidth="1"/>
    <col min="271" max="271" width="0" style="264" hidden="1" customWidth="1"/>
    <col min="272" max="512" width="9.140625" style="264"/>
    <col min="513" max="513" width="13.85546875" style="264" customWidth="1"/>
    <col min="514" max="514" width="14.140625" style="264" customWidth="1"/>
    <col min="515" max="515" width="13.42578125" style="264" customWidth="1"/>
    <col min="516" max="516" width="60.85546875" style="264" customWidth="1"/>
    <col min="517" max="517" width="72.28515625" style="264" customWidth="1"/>
    <col min="518" max="518" width="23.5703125" style="264" customWidth="1"/>
    <col min="519" max="520" width="23.42578125" style="264" customWidth="1"/>
    <col min="521" max="521" width="25.140625" style="264" customWidth="1"/>
    <col min="522" max="525" width="0" style="264" hidden="1" customWidth="1"/>
    <col min="526" max="526" width="30.5703125" style="264" customWidth="1"/>
    <col min="527" max="527" width="0" style="264" hidden="1" customWidth="1"/>
    <col min="528" max="768" width="9.140625" style="264"/>
    <col min="769" max="769" width="13.85546875" style="264" customWidth="1"/>
    <col min="770" max="770" width="14.140625" style="264" customWidth="1"/>
    <col min="771" max="771" width="13.42578125" style="264" customWidth="1"/>
    <col min="772" max="772" width="60.85546875" style="264" customWidth="1"/>
    <col min="773" max="773" width="72.28515625" style="264" customWidth="1"/>
    <col min="774" max="774" width="23.5703125" style="264" customWidth="1"/>
    <col min="775" max="776" width="23.42578125" style="264" customWidth="1"/>
    <col min="777" max="777" width="25.140625" style="264" customWidth="1"/>
    <col min="778" max="781" width="0" style="264" hidden="1" customWidth="1"/>
    <col min="782" max="782" width="30.5703125" style="264" customWidth="1"/>
    <col min="783" max="783" width="0" style="264" hidden="1" customWidth="1"/>
    <col min="784" max="1024" width="9.140625" style="264"/>
    <col min="1025" max="1025" width="13.85546875" style="264" customWidth="1"/>
    <col min="1026" max="1026" width="14.140625" style="264" customWidth="1"/>
    <col min="1027" max="1027" width="13.42578125" style="264" customWidth="1"/>
    <col min="1028" max="1028" width="60.85546875" style="264" customWidth="1"/>
    <col min="1029" max="1029" width="72.28515625" style="264" customWidth="1"/>
    <col min="1030" max="1030" width="23.5703125" style="264" customWidth="1"/>
    <col min="1031" max="1032" width="23.42578125" style="264" customWidth="1"/>
    <col min="1033" max="1033" width="25.140625" style="264" customWidth="1"/>
    <col min="1034" max="1037" width="0" style="264" hidden="1" customWidth="1"/>
    <col min="1038" max="1038" width="30.5703125" style="264" customWidth="1"/>
    <col min="1039" max="1039" width="0" style="264" hidden="1" customWidth="1"/>
    <col min="1040" max="1280" width="9.140625" style="264"/>
    <col min="1281" max="1281" width="13.85546875" style="264" customWidth="1"/>
    <col min="1282" max="1282" width="14.140625" style="264" customWidth="1"/>
    <col min="1283" max="1283" width="13.42578125" style="264" customWidth="1"/>
    <col min="1284" max="1284" width="60.85546875" style="264" customWidth="1"/>
    <col min="1285" max="1285" width="72.28515625" style="264" customWidth="1"/>
    <col min="1286" max="1286" width="23.5703125" style="264" customWidth="1"/>
    <col min="1287" max="1288" width="23.42578125" style="264" customWidth="1"/>
    <col min="1289" max="1289" width="25.140625" style="264" customWidth="1"/>
    <col min="1290" max="1293" width="0" style="264" hidden="1" customWidth="1"/>
    <col min="1294" max="1294" width="30.5703125" style="264" customWidth="1"/>
    <col min="1295" max="1295" width="0" style="264" hidden="1" customWidth="1"/>
    <col min="1296" max="1536" width="9.140625" style="264"/>
    <col min="1537" max="1537" width="13.85546875" style="264" customWidth="1"/>
    <col min="1538" max="1538" width="14.140625" style="264" customWidth="1"/>
    <col min="1539" max="1539" width="13.42578125" style="264" customWidth="1"/>
    <col min="1540" max="1540" width="60.85546875" style="264" customWidth="1"/>
    <col min="1541" max="1541" width="72.28515625" style="264" customWidth="1"/>
    <col min="1542" max="1542" width="23.5703125" style="264" customWidth="1"/>
    <col min="1543" max="1544" width="23.42578125" style="264" customWidth="1"/>
    <col min="1545" max="1545" width="25.140625" style="264" customWidth="1"/>
    <col min="1546" max="1549" width="0" style="264" hidden="1" customWidth="1"/>
    <col min="1550" max="1550" width="30.5703125" style="264" customWidth="1"/>
    <col min="1551" max="1551" width="0" style="264" hidden="1" customWidth="1"/>
    <col min="1552" max="1792" width="9.140625" style="264"/>
    <col min="1793" max="1793" width="13.85546875" style="264" customWidth="1"/>
    <col min="1794" max="1794" width="14.140625" style="264" customWidth="1"/>
    <col min="1795" max="1795" width="13.42578125" style="264" customWidth="1"/>
    <col min="1796" max="1796" width="60.85546875" style="264" customWidth="1"/>
    <col min="1797" max="1797" width="72.28515625" style="264" customWidth="1"/>
    <col min="1798" max="1798" width="23.5703125" style="264" customWidth="1"/>
    <col min="1799" max="1800" width="23.42578125" style="264" customWidth="1"/>
    <col min="1801" max="1801" width="25.140625" style="264" customWidth="1"/>
    <col min="1802" max="1805" width="0" style="264" hidden="1" customWidth="1"/>
    <col min="1806" max="1806" width="30.5703125" style="264" customWidth="1"/>
    <col min="1807" max="1807" width="0" style="264" hidden="1" customWidth="1"/>
    <col min="1808" max="2048" width="9.140625" style="264"/>
    <col min="2049" max="2049" width="13.85546875" style="264" customWidth="1"/>
    <col min="2050" max="2050" width="14.140625" style="264" customWidth="1"/>
    <col min="2051" max="2051" width="13.42578125" style="264" customWidth="1"/>
    <col min="2052" max="2052" width="60.85546875" style="264" customWidth="1"/>
    <col min="2053" max="2053" width="72.28515625" style="264" customWidth="1"/>
    <col min="2054" max="2054" width="23.5703125" style="264" customWidth="1"/>
    <col min="2055" max="2056" width="23.42578125" style="264" customWidth="1"/>
    <col min="2057" max="2057" width="25.140625" style="264" customWidth="1"/>
    <col min="2058" max="2061" width="0" style="264" hidden="1" customWidth="1"/>
    <col min="2062" max="2062" width="30.5703125" style="264" customWidth="1"/>
    <col min="2063" max="2063" width="0" style="264" hidden="1" customWidth="1"/>
    <col min="2064" max="2304" width="9.140625" style="264"/>
    <col min="2305" max="2305" width="13.85546875" style="264" customWidth="1"/>
    <col min="2306" max="2306" width="14.140625" style="264" customWidth="1"/>
    <col min="2307" max="2307" width="13.42578125" style="264" customWidth="1"/>
    <col min="2308" max="2308" width="60.85546875" style="264" customWidth="1"/>
    <col min="2309" max="2309" width="72.28515625" style="264" customWidth="1"/>
    <col min="2310" max="2310" width="23.5703125" style="264" customWidth="1"/>
    <col min="2311" max="2312" width="23.42578125" style="264" customWidth="1"/>
    <col min="2313" max="2313" width="25.140625" style="264" customWidth="1"/>
    <col min="2314" max="2317" width="0" style="264" hidden="1" customWidth="1"/>
    <col min="2318" max="2318" width="30.5703125" style="264" customWidth="1"/>
    <col min="2319" max="2319" width="0" style="264" hidden="1" customWidth="1"/>
    <col min="2320" max="2560" width="9.140625" style="264"/>
    <col min="2561" max="2561" width="13.85546875" style="264" customWidth="1"/>
    <col min="2562" max="2562" width="14.140625" style="264" customWidth="1"/>
    <col min="2563" max="2563" width="13.42578125" style="264" customWidth="1"/>
    <col min="2564" max="2564" width="60.85546875" style="264" customWidth="1"/>
    <col min="2565" max="2565" width="72.28515625" style="264" customWidth="1"/>
    <col min="2566" max="2566" width="23.5703125" style="264" customWidth="1"/>
    <col min="2567" max="2568" width="23.42578125" style="264" customWidth="1"/>
    <col min="2569" max="2569" width="25.140625" style="264" customWidth="1"/>
    <col min="2570" max="2573" width="0" style="264" hidden="1" customWidth="1"/>
    <col min="2574" max="2574" width="30.5703125" style="264" customWidth="1"/>
    <col min="2575" max="2575" width="0" style="264" hidden="1" customWidth="1"/>
    <col min="2576" max="2816" width="9.140625" style="264"/>
    <col min="2817" max="2817" width="13.85546875" style="264" customWidth="1"/>
    <col min="2818" max="2818" width="14.140625" style="264" customWidth="1"/>
    <col min="2819" max="2819" width="13.42578125" style="264" customWidth="1"/>
    <col min="2820" max="2820" width="60.85546875" style="264" customWidth="1"/>
    <col min="2821" max="2821" width="72.28515625" style="264" customWidth="1"/>
    <col min="2822" max="2822" width="23.5703125" style="264" customWidth="1"/>
    <col min="2823" max="2824" width="23.42578125" style="264" customWidth="1"/>
    <col min="2825" max="2825" width="25.140625" style="264" customWidth="1"/>
    <col min="2826" max="2829" width="0" style="264" hidden="1" customWidth="1"/>
    <col min="2830" max="2830" width="30.5703125" style="264" customWidth="1"/>
    <col min="2831" max="2831" width="0" style="264" hidden="1" customWidth="1"/>
    <col min="2832" max="3072" width="9.140625" style="264"/>
    <col min="3073" max="3073" width="13.85546875" style="264" customWidth="1"/>
    <col min="3074" max="3074" width="14.140625" style="264" customWidth="1"/>
    <col min="3075" max="3075" width="13.42578125" style="264" customWidth="1"/>
    <col min="3076" max="3076" width="60.85546875" style="264" customWidth="1"/>
    <col min="3077" max="3077" width="72.28515625" style="264" customWidth="1"/>
    <col min="3078" max="3078" width="23.5703125" style="264" customWidth="1"/>
    <col min="3079" max="3080" width="23.42578125" style="264" customWidth="1"/>
    <col min="3081" max="3081" width="25.140625" style="264" customWidth="1"/>
    <col min="3082" max="3085" width="0" style="264" hidden="1" customWidth="1"/>
    <col min="3086" max="3086" width="30.5703125" style="264" customWidth="1"/>
    <col min="3087" max="3087" width="0" style="264" hidden="1" customWidth="1"/>
    <col min="3088" max="3328" width="9.140625" style="264"/>
    <col min="3329" max="3329" width="13.85546875" style="264" customWidth="1"/>
    <col min="3330" max="3330" width="14.140625" style="264" customWidth="1"/>
    <col min="3331" max="3331" width="13.42578125" style="264" customWidth="1"/>
    <col min="3332" max="3332" width="60.85546875" style="264" customWidth="1"/>
    <col min="3333" max="3333" width="72.28515625" style="264" customWidth="1"/>
    <col min="3334" max="3334" width="23.5703125" style="264" customWidth="1"/>
    <col min="3335" max="3336" width="23.42578125" style="264" customWidth="1"/>
    <col min="3337" max="3337" width="25.140625" style="264" customWidth="1"/>
    <col min="3338" max="3341" width="0" style="264" hidden="1" customWidth="1"/>
    <col min="3342" max="3342" width="30.5703125" style="264" customWidth="1"/>
    <col min="3343" max="3343" width="0" style="264" hidden="1" customWidth="1"/>
    <col min="3344" max="3584" width="9.140625" style="264"/>
    <col min="3585" max="3585" width="13.85546875" style="264" customWidth="1"/>
    <col min="3586" max="3586" width="14.140625" style="264" customWidth="1"/>
    <col min="3587" max="3587" width="13.42578125" style="264" customWidth="1"/>
    <col min="3588" max="3588" width="60.85546875" style="264" customWidth="1"/>
    <col min="3589" max="3589" width="72.28515625" style="264" customWidth="1"/>
    <col min="3590" max="3590" width="23.5703125" style="264" customWidth="1"/>
    <col min="3591" max="3592" width="23.42578125" style="264" customWidth="1"/>
    <col min="3593" max="3593" width="25.140625" style="264" customWidth="1"/>
    <col min="3594" max="3597" width="0" style="264" hidden="1" customWidth="1"/>
    <col min="3598" max="3598" width="30.5703125" style="264" customWidth="1"/>
    <col min="3599" max="3599" width="0" style="264" hidden="1" customWidth="1"/>
    <col min="3600" max="3840" width="9.140625" style="264"/>
    <col min="3841" max="3841" width="13.85546875" style="264" customWidth="1"/>
    <col min="3842" max="3842" width="14.140625" style="264" customWidth="1"/>
    <col min="3843" max="3843" width="13.42578125" style="264" customWidth="1"/>
    <col min="3844" max="3844" width="60.85546875" style="264" customWidth="1"/>
    <col min="3845" max="3845" width="72.28515625" style="264" customWidth="1"/>
    <col min="3846" max="3846" width="23.5703125" style="264" customWidth="1"/>
    <col min="3847" max="3848" width="23.42578125" style="264" customWidth="1"/>
    <col min="3849" max="3849" width="25.140625" style="264" customWidth="1"/>
    <col min="3850" max="3853" width="0" style="264" hidden="1" customWidth="1"/>
    <col min="3854" max="3854" width="30.5703125" style="264" customWidth="1"/>
    <col min="3855" max="3855" width="0" style="264" hidden="1" customWidth="1"/>
    <col min="3856" max="4096" width="9.140625" style="264"/>
    <col min="4097" max="4097" width="13.85546875" style="264" customWidth="1"/>
    <col min="4098" max="4098" width="14.140625" style="264" customWidth="1"/>
    <col min="4099" max="4099" width="13.42578125" style="264" customWidth="1"/>
    <col min="4100" max="4100" width="60.85546875" style="264" customWidth="1"/>
    <col min="4101" max="4101" width="72.28515625" style="264" customWidth="1"/>
    <col min="4102" max="4102" width="23.5703125" style="264" customWidth="1"/>
    <col min="4103" max="4104" width="23.42578125" style="264" customWidth="1"/>
    <col min="4105" max="4105" width="25.140625" style="264" customWidth="1"/>
    <col min="4106" max="4109" width="0" style="264" hidden="1" customWidth="1"/>
    <col min="4110" max="4110" width="30.5703125" style="264" customWidth="1"/>
    <col min="4111" max="4111" width="0" style="264" hidden="1" customWidth="1"/>
    <col min="4112" max="4352" width="9.140625" style="264"/>
    <col min="4353" max="4353" width="13.85546875" style="264" customWidth="1"/>
    <col min="4354" max="4354" width="14.140625" style="264" customWidth="1"/>
    <col min="4355" max="4355" width="13.42578125" style="264" customWidth="1"/>
    <col min="4356" max="4356" width="60.85546875" style="264" customWidth="1"/>
    <col min="4357" max="4357" width="72.28515625" style="264" customWidth="1"/>
    <col min="4358" max="4358" width="23.5703125" style="264" customWidth="1"/>
    <col min="4359" max="4360" width="23.42578125" style="264" customWidth="1"/>
    <col min="4361" max="4361" width="25.140625" style="264" customWidth="1"/>
    <col min="4362" max="4365" width="0" style="264" hidden="1" customWidth="1"/>
    <col min="4366" max="4366" width="30.5703125" style="264" customWidth="1"/>
    <col min="4367" max="4367" width="0" style="264" hidden="1" customWidth="1"/>
    <col min="4368" max="4608" width="9.140625" style="264"/>
    <col min="4609" max="4609" width="13.85546875" style="264" customWidth="1"/>
    <col min="4610" max="4610" width="14.140625" style="264" customWidth="1"/>
    <col min="4611" max="4611" width="13.42578125" style="264" customWidth="1"/>
    <col min="4612" max="4612" width="60.85546875" style="264" customWidth="1"/>
    <col min="4613" max="4613" width="72.28515625" style="264" customWidth="1"/>
    <col min="4614" max="4614" width="23.5703125" style="264" customWidth="1"/>
    <col min="4615" max="4616" width="23.42578125" style="264" customWidth="1"/>
    <col min="4617" max="4617" width="25.140625" style="264" customWidth="1"/>
    <col min="4618" max="4621" width="0" style="264" hidden="1" customWidth="1"/>
    <col min="4622" max="4622" width="30.5703125" style="264" customWidth="1"/>
    <col min="4623" max="4623" width="0" style="264" hidden="1" customWidth="1"/>
    <col min="4624" max="4864" width="9.140625" style="264"/>
    <col min="4865" max="4865" width="13.85546875" style="264" customWidth="1"/>
    <col min="4866" max="4866" width="14.140625" style="264" customWidth="1"/>
    <col min="4867" max="4867" width="13.42578125" style="264" customWidth="1"/>
    <col min="4868" max="4868" width="60.85546875" style="264" customWidth="1"/>
    <col min="4869" max="4869" width="72.28515625" style="264" customWidth="1"/>
    <col min="4870" max="4870" width="23.5703125" style="264" customWidth="1"/>
    <col min="4871" max="4872" width="23.42578125" style="264" customWidth="1"/>
    <col min="4873" max="4873" width="25.140625" style="264" customWidth="1"/>
    <col min="4874" max="4877" width="0" style="264" hidden="1" customWidth="1"/>
    <col min="4878" max="4878" width="30.5703125" style="264" customWidth="1"/>
    <col min="4879" max="4879" width="0" style="264" hidden="1" customWidth="1"/>
    <col min="4880" max="5120" width="9.140625" style="264"/>
    <col min="5121" max="5121" width="13.85546875" style="264" customWidth="1"/>
    <col min="5122" max="5122" width="14.140625" style="264" customWidth="1"/>
    <col min="5123" max="5123" width="13.42578125" style="264" customWidth="1"/>
    <col min="5124" max="5124" width="60.85546875" style="264" customWidth="1"/>
    <col min="5125" max="5125" width="72.28515625" style="264" customWidth="1"/>
    <col min="5126" max="5126" width="23.5703125" style="264" customWidth="1"/>
    <col min="5127" max="5128" width="23.42578125" style="264" customWidth="1"/>
    <col min="5129" max="5129" width="25.140625" style="264" customWidth="1"/>
    <col min="5130" max="5133" width="0" style="264" hidden="1" customWidth="1"/>
    <col min="5134" max="5134" width="30.5703125" style="264" customWidth="1"/>
    <col min="5135" max="5135" width="0" style="264" hidden="1" customWidth="1"/>
    <col min="5136" max="5376" width="9.140625" style="264"/>
    <col min="5377" max="5377" width="13.85546875" style="264" customWidth="1"/>
    <col min="5378" max="5378" width="14.140625" style="264" customWidth="1"/>
    <col min="5379" max="5379" width="13.42578125" style="264" customWidth="1"/>
    <col min="5380" max="5380" width="60.85546875" style="264" customWidth="1"/>
    <col min="5381" max="5381" width="72.28515625" style="264" customWidth="1"/>
    <col min="5382" max="5382" width="23.5703125" style="264" customWidth="1"/>
    <col min="5383" max="5384" width="23.42578125" style="264" customWidth="1"/>
    <col min="5385" max="5385" width="25.140625" style="264" customWidth="1"/>
    <col min="5386" max="5389" width="0" style="264" hidden="1" customWidth="1"/>
    <col min="5390" max="5390" width="30.5703125" style="264" customWidth="1"/>
    <col min="5391" max="5391" width="0" style="264" hidden="1" customWidth="1"/>
    <col min="5392" max="5632" width="9.140625" style="264"/>
    <col min="5633" max="5633" width="13.85546875" style="264" customWidth="1"/>
    <col min="5634" max="5634" width="14.140625" style="264" customWidth="1"/>
    <col min="5635" max="5635" width="13.42578125" style="264" customWidth="1"/>
    <col min="5636" max="5636" width="60.85546875" style="264" customWidth="1"/>
    <col min="5637" max="5637" width="72.28515625" style="264" customWidth="1"/>
    <col min="5638" max="5638" width="23.5703125" style="264" customWidth="1"/>
    <col min="5639" max="5640" width="23.42578125" style="264" customWidth="1"/>
    <col min="5641" max="5641" width="25.140625" style="264" customWidth="1"/>
    <col min="5642" max="5645" width="0" style="264" hidden="1" customWidth="1"/>
    <col min="5646" max="5646" width="30.5703125" style="264" customWidth="1"/>
    <col min="5647" max="5647" width="0" style="264" hidden="1" customWidth="1"/>
    <col min="5648" max="5888" width="9.140625" style="264"/>
    <col min="5889" max="5889" width="13.85546875" style="264" customWidth="1"/>
    <col min="5890" max="5890" width="14.140625" style="264" customWidth="1"/>
    <col min="5891" max="5891" width="13.42578125" style="264" customWidth="1"/>
    <col min="5892" max="5892" width="60.85546875" style="264" customWidth="1"/>
    <col min="5893" max="5893" width="72.28515625" style="264" customWidth="1"/>
    <col min="5894" max="5894" width="23.5703125" style="264" customWidth="1"/>
    <col min="5895" max="5896" width="23.42578125" style="264" customWidth="1"/>
    <col min="5897" max="5897" width="25.140625" style="264" customWidth="1"/>
    <col min="5898" max="5901" width="0" style="264" hidden="1" customWidth="1"/>
    <col min="5902" max="5902" width="30.5703125" style="264" customWidth="1"/>
    <col min="5903" max="5903" width="0" style="264" hidden="1" customWidth="1"/>
    <col min="5904" max="6144" width="9.140625" style="264"/>
    <col min="6145" max="6145" width="13.85546875" style="264" customWidth="1"/>
    <col min="6146" max="6146" width="14.140625" style="264" customWidth="1"/>
    <col min="6147" max="6147" width="13.42578125" style="264" customWidth="1"/>
    <col min="6148" max="6148" width="60.85546875" style="264" customWidth="1"/>
    <col min="6149" max="6149" width="72.28515625" style="264" customWidth="1"/>
    <col min="6150" max="6150" width="23.5703125" style="264" customWidth="1"/>
    <col min="6151" max="6152" width="23.42578125" style="264" customWidth="1"/>
    <col min="6153" max="6153" width="25.140625" style="264" customWidth="1"/>
    <col min="6154" max="6157" width="0" style="264" hidden="1" customWidth="1"/>
    <col min="6158" max="6158" width="30.5703125" style="264" customWidth="1"/>
    <col min="6159" max="6159" width="0" style="264" hidden="1" customWidth="1"/>
    <col min="6160" max="6400" width="9.140625" style="264"/>
    <col min="6401" max="6401" width="13.85546875" style="264" customWidth="1"/>
    <col min="6402" max="6402" width="14.140625" style="264" customWidth="1"/>
    <col min="6403" max="6403" width="13.42578125" style="264" customWidth="1"/>
    <col min="6404" max="6404" width="60.85546875" style="264" customWidth="1"/>
    <col min="6405" max="6405" width="72.28515625" style="264" customWidth="1"/>
    <col min="6406" max="6406" width="23.5703125" style="264" customWidth="1"/>
    <col min="6407" max="6408" width="23.42578125" style="264" customWidth="1"/>
    <col min="6409" max="6409" width="25.140625" style="264" customWidth="1"/>
    <col min="6410" max="6413" width="0" style="264" hidden="1" customWidth="1"/>
    <col min="6414" max="6414" width="30.5703125" style="264" customWidth="1"/>
    <col min="6415" max="6415" width="0" style="264" hidden="1" customWidth="1"/>
    <col min="6416" max="6656" width="9.140625" style="264"/>
    <col min="6657" max="6657" width="13.85546875" style="264" customWidth="1"/>
    <col min="6658" max="6658" width="14.140625" style="264" customWidth="1"/>
    <col min="6659" max="6659" width="13.42578125" style="264" customWidth="1"/>
    <col min="6660" max="6660" width="60.85546875" style="264" customWidth="1"/>
    <col min="6661" max="6661" width="72.28515625" style="264" customWidth="1"/>
    <col min="6662" max="6662" width="23.5703125" style="264" customWidth="1"/>
    <col min="6663" max="6664" width="23.42578125" style="264" customWidth="1"/>
    <col min="6665" max="6665" width="25.140625" style="264" customWidth="1"/>
    <col min="6666" max="6669" width="0" style="264" hidden="1" customWidth="1"/>
    <col min="6670" max="6670" width="30.5703125" style="264" customWidth="1"/>
    <col min="6671" max="6671" width="0" style="264" hidden="1" customWidth="1"/>
    <col min="6672" max="6912" width="9.140625" style="264"/>
    <col min="6913" max="6913" width="13.85546875" style="264" customWidth="1"/>
    <col min="6914" max="6914" width="14.140625" style="264" customWidth="1"/>
    <col min="6915" max="6915" width="13.42578125" style="264" customWidth="1"/>
    <col min="6916" max="6916" width="60.85546875" style="264" customWidth="1"/>
    <col min="6917" max="6917" width="72.28515625" style="264" customWidth="1"/>
    <col min="6918" max="6918" width="23.5703125" style="264" customWidth="1"/>
    <col min="6919" max="6920" width="23.42578125" style="264" customWidth="1"/>
    <col min="6921" max="6921" width="25.140625" style="264" customWidth="1"/>
    <col min="6922" max="6925" width="0" style="264" hidden="1" customWidth="1"/>
    <col min="6926" max="6926" width="30.5703125" style="264" customWidth="1"/>
    <col min="6927" max="6927" width="0" style="264" hidden="1" customWidth="1"/>
    <col min="6928" max="7168" width="9.140625" style="264"/>
    <col min="7169" max="7169" width="13.85546875" style="264" customWidth="1"/>
    <col min="7170" max="7170" width="14.140625" style="264" customWidth="1"/>
    <col min="7171" max="7171" width="13.42578125" style="264" customWidth="1"/>
    <col min="7172" max="7172" width="60.85546875" style="264" customWidth="1"/>
    <col min="7173" max="7173" width="72.28515625" style="264" customWidth="1"/>
    <col min="7174" max="7174" width="23.5703125" style="264" customWidth="1"/>
    <col min="7175" max="7176" width="23.42578125" style="264" customWidth="1"/>
    <col min="7177" max="7177" width="25.140625" style="264" customWidth="1"/>
    <col min="7178" max="7181" width="0" style="264" hidden="1" customWidth="1"/>
    <col min="7182" max="7182" width="30.5703125" style="264" customWidth="1"/>
    <col min="7183" max="7183" width="0" style="264" hidden="1" customWidth="1"/>
    <col min="7184" max="7424" width="9.140625" style="264"/>
    <col min="7425" max="7425" width="13.85546875" style="264" customWidth="1"/>
    <col min="7426" max="7426" width="14.140625" style="264" customWidth="1"/>
    <col min="7427" max="7427" width="13.42578125" style="264" customWidth="1"/>
    <col min="7428" max="7428" width="60.85546875" style="264" customWidth="1"/>
    <col min="7429" max="7429" width="72.28515625" style="264" customWidth="1"/>
    <col min="7430" max="7430" width="23.5703125" style="264" customWidth="1"/>
    <col min="7431" max="7432" width="23.42578125" style="264" customWidth="1"/>
    <col min="7433" max="7433" width="25.140625" style="264" customWidth="1"/>
    <col min="7434" max="7437" width="0" style="264" hidden="1" customWidth="1"/>
    <col min="7438" max="7438" width="30.5703125" style="264" customWidth="1"/>
    <col min="7439" max="7439" width="0" style="264" hidden="1" customWidth="1"/>
    <col min="7440" max="7680" width="9.140625" style="264"/>
    <col min="7681" max="7681" width="13.85546875" style="264" customWidth="1"/>
    <col min="7682" max="7682" width="14.140625" style="264" customWidth="1"/>
    <col min="7683" max="7683" width="13.42578125" style="264" customWidth="1"/>
    <col min="7684" max="7684" width="60.85546875" style="264" customWidth="1"/>
    <col min="7685" max="7685" width="72.28515625" style="264" customWidth="1"/>
    <col min="7686" max="7686" width="23.5703125" style="264" customWidth="1"/>
    <col min="7687" max="7688" width="23.42578125" style="264" customWidth="1"/>
    <col min="7689" max="7689" width="25.140625" style="264" customWidth="1"/>
    <col min="7690" max="7693" width="0" style="264" hidden="1" customWidth="1"/>
    <col min="7694" max="7694" width="30.5703125" style="264" customWidth="1"/>
    <col min="7695" max="7695" width="0" style="264" hidden="1" customWidth="1"/>
    <col min="7696" max="7936" width="9.140625" style="264"/>
    <col min="7937" max="7937" width="13.85546875" style="264" customWidth="1"/>
    <col min="7938" max="7938" width="14.140625" style="264" customWidth="1"/>
    <col min="7939" max="7939" width="13.42578125" style="264" customWidth="1"/>
    <col min="7940" max="7940" width="60.85546875" style="264" customWidth="1"/>
    <col min="7941" max="7941" width="72.28515625" style="264" customWidth="1"/>
    <col min="7942" max="7942" width="23.5703125" style="264" customWidth="1"/>
    <col min="7943" max="7944" width="23.42578125" style="264" customWidth="1"/>
    <col min="7945" max="7945" width="25.140625" style="264" customWidth="1"/>
    <col min="7946" max="7949" width="0" style="264" hidden="1" customWidth="1"/>
    <col min="7950" max="7950" width="30.5703125" style="264" customWidth="1"/>
    <col min="7951" max="7951" width="0" style="264" hidden="1" customWidth="1"/>
    <col min="7952" max="8192" width="9.140625" style="264"/>
    <col min="8193" max="8193" width="13.85546875" style="264" customWidth="1"/>
    <col min="8194" max="8194" width="14.140625" style="264" customWidth="1"/>
    <col min="8195" max="8195" width="13.42578125" style="264" customWidth="1"/>
    <col min="8196" max="8196" width="60.85546875" style="264" customWidth="1"/>
    <col min="8197" max="8197" width="72.28515625" style="264" customWidth="1"/>
    <col min="8198" max="8198" width="23.5703125" style="264" customWidth="1"/>
    <col min="8199" max="8200" width="23.42578125" style="264" customWidth="1"/>
    <col min="8201" max="8201" width="25.140625" style="264" customWidth="1"/>
    <col min="8202" max="8205" width="0" style="264" hidden="1" customWidth="1"/>
    <col min="8206" max="8206" width="30.5703125" style="264" customWidth="1"/>
    <col min="8207" max="8207" width="0" style="264" hidden="1" customWidth="1"/>
    <col min="8208" max="8448" width="9.140625" style="264"/>
    <col min="8449" max="8449" width="13.85546875" style="264" customWidth="1"/>
    <col min="8450" max="8450" width="14.140625" style="264" customWidth="1"/>
    <col min="8451" max="8451" width="13.42578125" style="264" customWidth="1"/>
    <col min="8452" max="8452" width="60.85546875" style="264" customWidth="1"/>
    <col min="8453" max="8453" width="72.28515625" style="264" customWidth="1"/>
    <col min="8454" max="8454" width="23.5703125" style="264" customWidth="1"/>
    <col min="8455" max="8456" width="23.42578125" style="264" customWidth="1"/>
    <col min="8457" max="8457" width="25.140625" style="264" customWidth="1"/>
    <col min="8458" max="8461" width="0" style="264" hidden="1" customWidth="1"/>
    <col min="8462" max="8462" width="30.5703125" style="264" customWidth="1"/>
    <col min="8463" max="8463" width="0" style="264" hidden="1" customWidth="1"/>
    <col min="8464" max="8704" width="9.140625" style="264"/>
    <col min="8705" max="8705" width="13.85546875" style="264" customWidth="1"/>
    <col min="8706" max="8706" width="14.140625" style="264" customWidth="1"/>
    <col min="8707" max="8707" width="13.42578125" style="264" customWidth="1"/>
    <col min="8708" max="8708" width="60.85546875" style="264" customWidth="1"/>
    <col min="8709" max="8709" width="72.28515625" style="264" customWidth="1"/>
    <col min="8710" max="8710" width="23.5703125" style="264" customWidth="1"/>
    <col min="8711" max="8712" width="23.42578125" style="264" customWidth="1"/>
    <col min="8713" max="8713" width="25.140625" style="264" customWidth="1"/>
    <col min="8714" max="8717" width="0" style="264" hidden="1" customWidth="1"/>
    <col min="8718" max="8718" width="30.5703125" style="264" customWidth="1"/>
    <col min="8719" max="8719" width="0" style="264" hidden="1" customWidth="1"/>
    <col min="8720" max="8960" width="9.140625" style="264"/>
    <col min="8961" max="8961" width="13.85546875" style="264" customWidth="1"/>
    <col min="8962" max="8962" width="14.140625" style="264" customWidth="1"/>
    <col min="8963" max="8963" width="13.42578125" style="264" customWidth="1"/>
    <col min="8964" max="8964" width="60.85546875" style="264" customWidth="1"/>
    <col min="8965" max="8965" width="72.28515625" style="264" customWidth="1"/>
    <col min="8966" max="8966" width="23.5703125" style="264" customWidth="1"/>
    <col min="8967" max="8968" width="23.42578125" style="264" customWidth="1"/>
    <col min="8969" max="8969" width="25.140625" style="264" customWidth="1"/>
    <col min="8970" max="8973" width="0" style="264" hidden="1" customWidth="1"/>
    <col min="8974" max="8974" width="30.5703125" style="264" customWidth="1"/>
    <col min="8975" max="8975" width="0" style="264" hidden="1" customWidth="1"/>
    <col min="8976" max="9216" width="9.140625" style="264"/>
    <col min="9217" max="9217" width="13.85546875" style="264" customWidth="1"/>
    <col min="9218" max="9218" width="14.140625" style="264" customWidth="1"/>
    <col min="9219" max="9219" width="13.42578125" style="264" customWidth="1"/>
    <col min="9220" max="9220" width="60.85546875" style="264" customWidth="1"/>
    <col min="9221" max="9221" width="72.28515625" style="264" customWidth="1"/>
    <col min="9222" max="9222" width="23.5703125" style="264" customWidth="1"/>
    <col min="9223" max="9224" width="23.42578125" style="264" customWidth="1"/>
    <col min="9225" max="9225" width="25.140625" style="264" customWidth="1"/>
    <col min="9226" max="9229" width="0" style="264" hidden="1" customWidth="1"/>
    <col min="9230" max="9230" width="30.5703125" style="264" customWidth="1"/>
    <col min="9231" max="9231" width="0" style="264" hidden="1" customWidth="1"/>
    <col min="9232" max="9472" width="9.140625" style="264"/>
    <col min="9473" max="9473" width="13.85546875" style="264" customWidth="1"/>
    <col min="9474" max="9474" width="14.140625" style="264" customWidth="1"/>
    <col min="9475" max="9475" width="13.42578125" style="264" customWidth="1"/>
    <col min="9476" max="9476" width="60.85546875" style="264" customWidth="1"/>
    <col min="9477" max="9477" width="72.28515625" style="264" customWidth="1"/>
    <col min="9478" max="9478" width="23.5703125" style="264" customWidth="1"/>
    <col min="9479" max="9480" width="23.42578125" style="264" customWidth="1"/>
    <col min="9481" max="9481" width="25.140625" style="264" customWidth="1"/>
    <col min="9482" max="9485" width="0" style="264" hidden="1" customWidth="1"/>
    <col min="9486" max="9486" width="30.5703125" style="264" customWidth="1"/>
    <col min="9487" max="9487" width="0" style="264" hidden="1" customWidth="1"/>
    <col min="9488" max="9728" width="9.140625" style="264"/>
    <col min="9729" max="9729" width="13.85546875" style="264" customWidth="1"/>
    <col min="9730" max="9730" width="14.140625" style="264" customWidth="1"/>
    <col min="9731" max="9731" width="13.42578125" style="264" customWidth="1"/>
    <col min="9732" max="9732" width="60.85546875" style="264" customWidth="1"/>
    <col min="9733" max="9733" width="72.28515625" style="264" customWidth="1"/>
    <col min="9734" max="9734" width="23.5703125" style="264" customWidth="1"/>
    <col min="9735" max="9736" width="23.42578125" style="264" customWidth="1"/>
    <col min="9737" max="9737" width="25.140625" style="264" customWidth="1"/>
    <col min="9738" max="9741" width="0" style="264" hidden="1" customWidth="1"/>
    <col min="9742" max="9742" width="30.5703125" style="264" customWidth="1"/>
    <col min="9743" max="9743" width="0" style="264" hidden="1" customWidth="1"/>
    <col min="9744" max="9984" width="9.140625" style="264"/>
    <col min="9985" max="9985" width="13.85546875" style="264" customWidth="1"/>
    <col min="9986" max="9986" width="14.140625" style="264" customWidth="1"/>
    <col min="9987" max="9987" width="13.42578125" style="264" customWidth="1"/>
    <col min="9988" max="9988" width="60.85546875" style="264" customWidth="1"/>
    <col min="9989" max="9989" width="72.28515625" style="264" customWidth="1"/>
    <col min="9990" max="9990" width="23.5703125" style="264" customWidth="1"/>
    <col min="9991" max="9992" width="23.42578125" style="264" customWidth="1"/>
    <col min="9993" max="9993" width="25.140625" style="264" customWidth="1"/>
    <col min="9994" max="9997" width="0" style="264" hidden="1" customWidth="1"/>
    <col min="9998" max="9998" width="30.5703125" style="264" customWidth="1"/>
    <col min="9999" max="9999" width="0" style="264" hidden="1" customWidth="1"/>
    <col min="10000" max="10240" width="9.140625" style="264"/>
    <col min="10241" max="10241" width="13.85546875" style="264" customWidth="1"/>
    <col min="10242" max="10242" width="14.140625" style="264" customWidth="1"/>
    <col min="10243" max="10243" width="13.42578125" style="264" customWidth="1"/>
    <col min="10244" max="10244" width="60.85546875" style="264" customWidth="1"/>
    <col min="10245" max="10245" width="72.28515625" style="264" customWidth="1"/>
    <col min="10246" max="10246" width="23.5703125" style="264" customWidth="1"/>
    <col min="10247" max="10248" width="23.42578125" style="264" customWidth="1"/>
    <col min="10249" max="10249" width="25.140625" style="264" customWidth="1"/>
    <col min="10250" max="10253" width="0" style="264" hidden="1" customWidth="1"/>
    <col min="10254" max="10254" width="30.5703125" style="264" customWidth="1"/>
    <col min="10255" max="10255" width="0" style="264" hidden="1" customWidth="1"/>
    <col min="10256" max="10496" width="9.140625" style="264"/>
    <col min="10497" max="10497" width="13.85546875" style="264" customWidth="1"/>
    <col min="10498" max="10498" width="14.140625" style="264" customWidth="1"/>
    <col min="10499" max="10499" width="13.42578125" style="264" customWidth="1"/>
    <col min="10500" max="10500" width="60.85546875" style="264" customWidth="1"/>
    <col min="10501" max="10501" width="72.28515625" style="264" customWidth="1"/>
    <col min="10502" max="10502" width="23.5703125" style="264" customWidth="1"/>
    <col min="10503" max="10504" width="23.42578125" style="264" customWidth="1"/>
    <col min="10505" max="10505" width="25.140625" style="264" customWidth="1"/>
    <col min="10506" max="10509" width="0" style="264" hidden="1" customWidth="1"/>
    <col min="10510" max="10510" width="30.5703125" style="264" customWidth="1"/>
    <col min="10511" max="10511" width="0" style="264" hidden="1" customWidth="1"/>
    <col min="10512" max="10752" width="9.140625" style="264"/>
    <col min="10753" max="10753" width="13.85546875" style="264" customWidth="1"/>
    <col min="10754" max="10754" width="14.140625" style="264" customWidth="1"/>
    <col min="10755" max="10755" width="13.42578125" style="264" customWidth="1"/>
    <col min="10756" max="10756" width="60.85546875" style="264" customWidth="1"/>
    <col min="10757" max="10757" width="72.28515625" style="264" customWidth="1"/>
    <col min="10758" max="10758" width="23.5703125" style="264" customWidth="1"/>
    <col min="10759" max="10760" width="23.42578125" style="264" customWidth="1"/>
    <col min="10761" max="10761" width="25.140625" style="264" customWidth="1"/>
    <col min="10762" max="10765" width="0" style="264" hidden="1" customWidth="1"/>
    <col min="10766" max="10766" width="30.5703125" style="264" customWidth="1"/>
    <col min="10767" max="10767" width="0" style="264" hidden="1" customWidth="1"/>
    <col min="10768" max="11008" width="9.140625" style="264"/>
    <col min="11009" max="11009" width="13.85546875" style="264" customWidth="1"/>
    <col min="11010" max="11010" width="14.140625" style="264" customWidth="1"/>
    <col min="11011" max="11011" width="13.42578125" style="264" customWidth="1"/>
    <col min="11012" max="11012" width="60.85546875" style="264" customWidth="1"/>
    <col min="11013" max="11013" width="72.28515625" style="264" customWidth="1"/>
    <col min="11014" max="11014" width="23.5703125" style="264" customWidth="1"/>
    <col min="11015" max="11016" width="23.42578125" style="264" customWidth="1"/>
    <col min="11017" max="11017" width="25.140625" style="264" customWidth="1"/>
    <col min="11018" max="11021" width="0" style="264" hidden="1" customWidth="1"/>
    <col min="11022" max="11022" width="30.5703125" style="264" customWidth="1"/>
    <col min="11023" max="11023" width="0" style="264" hidden="1" customWidth="1"/>
    <col min="11024" max="11264" width="9.140625" style="264"/>
    <col min="11265" max="11265" width="13.85546875" style="264" customWidth="1"/>
    <col min="11266" max="11266" width="14.140625" style="264" customWidth="1"/>
    <col min="11267" max="11267" width="13.42578125" style="264" customWidth="1"/>
    <col min="11268" max="11268" width="60.85546875" style="264" customWidth="1"/>
    <col min="11269" max="11269" width="72.28515625" style="264" customWidth="1"/>
    <col min="11270" max="11270" width="23.5703125" style="264" customWidth="1"/>
    <col min="11271" max="11272" width="23.42578125" style="264" customWidth="1"/>
    <col min="11273" max="11273" width="25.140625" style="264" customWidth="1"/>
    <col min="11274" max="11277" width="0" style="264" hidden="1" customWidth="1"/>
    <col min="11278" max="11278" width="30.5703125" style="264" customWidth="1"/>
    <col min="11279" max="11279" width="0" style="264" hidden="1" customWidth="1"/>
    <col min="11280" max="11520" width="9.140625" style="264"/>
    <col min="11521" max="11521" width="13.85546875" style="264" customWidth="1"/>
    <col min="11522" max="11522" width="14.140625" style="264" customWidth="1"/>
    <col min="11523" max="11523" width="13.42578125" style="264" customWidth="1"/>
    <col min="11524" max="11524" width="60.85546875" style="264" customWidth="1"/>
    <col min="11525" max="11525" width="72.28515625" style="264" customWidth="1"/>
    <col min="11526" max="11526" width="23.5703125" style="264" customWidth="1"/>
    <col min="11527" max="11528" width="23.42578125" style="264" customWidth="1"/>
    <col min="11529" max="11529" width="25.140625" style="264" customWidth="1"/>
    <col min="11530" max="11533" width="0" style="264" hidden="1" customWidth="1"/>
    <col min="11534" max="11534" width="30.5703125" style="264" customWidth="1"/>
    <col min="11535" max="11535" width="0" style="264" hidden="1" customWidth="1"/>
    <col min="11536" max="11776" width="9.140625" style="264"/>
    <col min="11777" max="11777" width="13.85546875" style="264" customWidth="1"/>
    <col min="11778" max="11778" width="14.140625" style="264" customWidth="1"/>
    <col min="11779" max="11779" width="13.42578125" style="264" customWidth="1"/>
    <col min="11780" max="11780" width="60.85546875" style="264" customWidth="1"/>
    <col min="11781" max="11781" width="72.28515625" style="264" customWidth="1"/>
    <col min="11782" max="11782" width="23.5703125" style="264" customWidth="1"/>
    <col min="11783" max="11784" width="23.42578125" style="264" customWidth="1"/>
    <col min="11785" max="11785" width="25.140625" style="264" customWidth="1"/>
    <col min="11786" max="11789" width="0" style="264" hidden="1" customWidth="1"/>
    <col min="11790" max="11790" width="30.5703125" style="264" customWidth="1"/>
    <col min="11791" max="11791" width="0" style="264" hidden="1" customWidth="1"/>
    <col min="11792" max="12032" width="9.140625" style="264"/>
    <col min="12033" max="12033" width="13.85546875" style="264" customWidth="1"/>
    <col min="12034" max="12034" width="14.140625" style="264" customWidth="1"/>
    <col min="12035" max="12035" width="13.42578125" style="264" customWidth="1"/>
    <col min="12036" max="12036" width="60.85546875" style="264" customWidth="1"/>
    <col min="12037" max="12037" width="72.28515625" style="264" customWidth="1"/>
    <col min="12038" max="12038" width="23.5703125" style="264" customWidth="1"/>
    <col min="12039" max="12040" width="23.42578125" style="264" customWidth="1"/>
    <col min="12041" max="12041" width="25.140625" style="264" customWidth="1"/>
    <col min="12042" max="12045" width="0" style="264" hidden="1" customWidth="1"/>
    <col min="12046" max="12046" width="30.5703125" style="264" customWidth="1"/>
    <col min="12047" max="12047" width="0" style="264" hidden="1" customWidth="1"/>
    <col min="12048" max="12288" width="9.140625" style="264"/>
    <col min="12289" max="12289" width="13.85546875" style="264" customWidth="1"/>
    <col min="12290" max="12290" width="14.140625" style="264" customWidth="1"/>
    <col min="12291" max="12291" width="13.42578125" style="264" customWidth="1"/>
    <col min="12292" max="12292" width="60.85546875" style="264" customWidth="1"/>
    <col min="12293" max="12293" width="72.28515625" style="264" customWidth="1"/>
    <col min="12294" max="12294" width="23.5703125" style="264" customWidth="1"/>
    <col min="12295" max="12296" width="23.42578125" style="264" customWidth="1"/>
    <col min="12297" max="12297" width="25.140625" style="264" customWidth="1"/>
    <col min="12298" max="12301" width="0" style="264" hidden="1" customWidth="1"/>
    <col min="12302" max="12302" width="30.5703125" style="264" customWidth="1"/>
    <col min="12303" max="12303" width="0" style="264" hidden="1" customWidth="1"/>
    <col min="12304" max="12544" width="9.140625" style="264"/>
    <col min="12545" max="12545" width="13.85546875" style="264" customWidth="1"/>
    <col min="12546" max="12546" width="14.140625" style="264" customWidth="1"/>
    <col min="12547" max="12547" width="13.42578125" style="264" customWidth="1"/>
    <col min="12548" max="12548" width="60.85546875" style="264" customWidth="1"/>
    <col min="12549" max="12549" width="72.28515625" style="264" customWidth="1"/>
    <col min="12550" max="12550" width="23.5703125" style="264" customWidth="1"/>
    <col min="12551" max="12552" width="23.42578125" style="264" customWidth="1"/>
    <col min="12553" max="12553" width="25.140625" style="264" customWidth="1"/>
    <col min="12554" max="12557" width="0" style="264" hidden="1" customWidth="1"/>
    <col min="12558" max="12558" width="30.5703125" style="264" customWidth="1"/>
    <col min="12559" max="12559" width="0" style="264" hidden="1" customWidth="1"/>
    <col min="12560" max="12800" width="9.140625" style="264"/>
    <col min="12801" max="12801" width="13.85546875" style="264" customWidth="1"/>
    <col min="12802" max="12802" width="14.140625" style="264" customWidth="1"/>
    <col min="12803" max="12803" width="13.42578125" style="264" customWidth="1"/>
    <col min="12804" max="12804" width="60.85546875" style="264" customWidth="1"/>
    <col min="12805" max="12805" width="72.28515625" style="264" customWidth="1"/>
    <col min="12806" max="12806" width="23.5703125" style="264" customWidth="1"/>
    <col min="12807" max="12808" width="23.42578125" style="264" customWidth="1"/>
    <col min="12809" max="12809" width="25.140625" style="264" customWidth="1"/>
    <col min="12810" max="12813" width="0" style="264" hidden="1" customWidth="1"/>
    <col min="12814" max="12814" width="30.5703125" style="264" customWidth="1"/>
    <col min="12815" max="12815" width="0" style="264" hidden="1" customWidth="1"/>
    <col min="12816" max="13056" width="9.140625" style="264"/>
    <col min="13057" max="13057" width="13.85546875" style="264" customWidth="1"/>
    <col min="13058" max="13058" width="14.140625" style="264" customWidth="1"/>
    <col min="13059" max="13059" width="13.42578125" style="264" customWidth="1"/>
    <col min="13060" max="13060" width="60.85546875" style="264" customWidth="1"/>
    <col min="13061" max="13061" width="72.28515625" style="264" customWidth="1"/>
    <col min="13062" max="13062" width="23.5703125" style="264" customWidth="1"/>
    <col min="13063" max="13064" width="23.42578125" style="264" customWidth="1"/>
    <col min="13065" max="13065" width="25.140625" style="264" customWidth="1"/>
    <col min="13066" max="13069" width="0" style="264" hidden="1" customWidth="1"/>
    <col min="13070" max="13070" width="30.5703125" style="264" customWidth="1"/>
    <col min="13071" max="13071" width="0" style="264" hidden="1" customWidth="1"/>
    <col min="13072" max="13312" width="9.140625" style="264"/>
    <col min="13313" max="13313" width="13.85546875" style="264" customWidth="1"/>
    <col min="13314" max="13314" width="14.140625" style="264" customWidth="1"/>
    <col min="13315" max="13315" width="13.42578125" style="264" customWidth="1"/>
    <col min="13316" max="13316" width="60.85546875" style="264" customWidth="1"/>
    <col min="13317" max="13317" width="72.28515625" style="264" customWidth="1"/>
    <col min="13318" max="13318" width="23.5703125" style="264" customWidth="1"/>
    <col min="13319" max="13320" width="23.42578125" style="264" customWidth="1"/>
    <col min="13321" max="13321" width="25.140625" style="264" customWidth="1"/>
    <col min="13322" max="13325" width="0" style="264" hidden="1" customWidth="1"/>
    <col min="13326" max="13326" width="30.5703125" style="264" customWidth="1"/>
    <col min="13327" max="13327" width="0" style="264" hidden="1" customWidth="1"/>
    <col min="13328" max="13568" width="9.140625" style="264"/>
    <col min="13569" max="13569" width="13.85546875" style="264" customWidth="1"/>
    <col min="13570" max="13570" width="14.140625" style="264" customWidth="1"/>
    <col min="13571" max="13571" width="13.42578125" style="264" customWidth="1"/>
    <col min="13572" max="13572" width="60.85546875" style="264" customWidth="1"/>
    <col min="13573" max="13573" width="72.28515625" style="264" customWidth="1"/>
    <col min="13574" max="13574" width="23.5703125" style="264" customWidth="1"/>
    <col min="13575" max="13576" width="23.42578125" style="264" customWidth="1"/>
    <col min="13577" max="13577" width="25.140625" style="264" customWidth="1"/>
    <col min="13578" max="13581" width="0" style="264" hidden="1" customWidth="1"/>
    <col min="13582" max="13582" width="30.5703125" style="264" customWidth="1"/>
    <col min="13583" max="13583" width="0" style="264" hidden="1" customWidth="1"/>
    <col min="13584" max="13824" width="9.140625" style="264"/>
    <col min="13825" max="13825" width="13.85546875" style="264" customWidth="1"/>
    <col min="13826" max="13826" width="14.140625" style="264" customWidth="1"/>
    <col min="13827" max="13827" width="13.42578125" style="264" customWidth="1"/>
    <col min="13828" max="13828" width="60.85546875" style="264" customWidth="1"/>
    <col min="13829" max="13829" width="72.28515625" style="264" customWidth="1"/>
    <col min="13830" max="13830" width="23.5703125" style="264" customWidth="1"/>
    <col min="13831" max="13832" width="23.42578125" style="264" customWidth="1"/>
    <col min="13833" max="13833" width="25.140625" style="264" customWidth="1"/>
    <col min="13834" max="13837" width="0" style="264" hidden="1" customWidth="1"/>
    <col min="13838" max="13838" width="30.5703125" style="264" customWidth="1"/>
    <col min="13839" max="13839" width="0" style="264" hidden="1" customWidth="1"/>
    <col min="13840" max="14080" width="9.140625" style="264"/>
    <col min="14081" max="14081" width="13.85546875" style="264" customWidth="1"/>
    <col min="14082" max="14082" width="14.140625" style="264" customWidth="1"/>
    <col min="14083" max="14083" width="13.42578125" style="264" customWidth="1"/>
    <col min="14084" max="14084" width="60.85546875" style="264" customWidth="1"/>
    <col min="14085" max="14085" width="72.28515625" style="264" customWidth="1"/>
    <col min="14086" max="14086" width="23.5703125" style="264" customWidth="1"/>
    <col min="14087" max="14088" width="23.42578125" style="264" customWidth="1"/>
    <col min="14089" max="14089" width="25.140625" style="264" customWidth="1"/>
    <col min="14090" max="14093" width="0" style="264" hidden="1" customWidth="1"/>
    <col min="14094" max="14094" width="30.5703125" style="264" customWidth="1"/>
    <col min="14095" max="14095" width="0" style="264" hidden="1" customWidth="1"/>
    <col min="14096" max="14336" width="9.140625" style="264"/>
    <col min="14337" max="14337" width="13.85546875" style="264" customWidth="1"/>
    <col min="14338" max="14338" width="14.140625" style="264" customWidth="1"/>
    <col min="14339" max="14339" width="13.42578125" style="264" customWidth="1"/>
    <col min="14340" max="14340" width="60.85546875" style="264" customWidth="1"/>
    <col min="14341" max="14341" width="72.28515625" style="264" customWidth="1"/>
    <col min="14342" max="14342" width="23.5703125" style="264" customWidth="1"/>
    <col min="14343" max="14344" width="23.42578125" style="264" customWidth="1"/>
    <col min="14345" max="14345" width="25.140625" style="264" customWidth="1"/>
    <col min="14346" max="14349" width="0" style="264" hidden="1" customWidth="1"/>
    <col min="14350" max="14350" width="30.5703125" style="264" customWidth="1"/>
    <col min="14351" max="14351" width="0" style="264" hidden="1" customWidth="1"/>
    <col min="14352" max="14592" width="9.140625" style="264"/>
    <col min="14593" max="14593" width="13.85546875" style="264" customWidth="1"/>
    <col min="14594" max="14594" width="14.140625" style="264" customWidth="1"/>
    <col min="14595" max="14595" width="13.42578125" style="264" customWidth="1"/>
    <col min="14596" max="14596" width="60.85546875" style="264" customWidth="1"/>
    <col min="14597" max="14597" width="72.28515625" style="264" customWidth="1"/>
    <col min="14598" max="14598" width="23.5703125" style="264" customWidth="1"/>
    <col min="14599" max="14600" width="23.42578125" style="264" customWidth="1"/>
    <col min="14601" max="14601" width="25.140625" style="264" customWidth="1"/>
    <col min="14602" max="14605" width="0" style="264" hidden="1" customWidth="1"/>
    <col min="14606" max="14606" width="30.5703125" style="264" customWidth="1"/>
    <col min="14607" max="14607" width="0" style="264" hidden="1" customWidth="1"/>
    <col min="14608" max="14848" width="9.140625" style="264"/>
    <col min="14849" max="14849" width="13.85546875" style="264" customWidth="1"/>
    <col min="14850" max="14850" width="14.140625" style="264" customWidth="1"/>
    <col min="14851" max="14851" width="13.42578125" style="264" customWidth="1"/>
    <col min="14852" max="14852" width="60.85546875" style="264" customWidth="1"/>
    <col min="14853" max="14853" width="72.28515625" style="264" customWidth="1"/>
    <col min="14854" max="14854" width="23.5703125" style="264" customWidth="1"/>
    <col min="14855" max="14856" width="23.42578125" style="264" customWidth="1"/>
    <col min="14857" max="14857" width="25.140625" style="264" customWidth="1"/>
    <col min="14858" max="14861" width="0" style="264" hidden="1" customWidth="1"/>
    <col min="14862" max="14862" width="30.5703125" style="264" customWidth="1"/>
    <col min="14863" max="14863" width="0" style="264" hidden="1" customWidth="1"/>
    <col min="14864" max="15104" width="9.140625" style="264"/>
    <col min="15105" max="15105" width="13.85546875" style="264" customWidth="1"/>
    <col min="15106" max="15106" width="14.140625" style="264" customWidth="1"/>
    <col min="15107" max="15107" width="13.42578125" style="264" customWidth="1"/>
    <col min="15108" max="15108" width="60.85546875" style="264" customWidth="1"/>
    <col min="15109" max="15109" width="72.28515625" style="264" customWidth="1"/>
    <col min="15110" max="15110" width="23.5703125" style="264" customWidth="1"/>
    <col min="15111" max="15112" width="23.42578125" style="264" customWidth="1"/>
    <col min="15113" max="15113" width="25.140625" style="264" customWidth="1"/>
    <col min="15114" max="15117" width="0" style="264" hidden="1" customWidth="1"/>
    <col min="15118" max="15118" width="30.5703125" style="264" customWidth="1"/>
    <col min="15119" max="15119" width="0" style="264" hidden="1" customWidth="1"/>
    <col min="15120" max="15360" width="9.140625" style="264"/>
    <col min="15361" max="15361" width="13.85546875" style="264" customWidth="1"/>
    <col min="15362" max="15362" width="14.140625" style="264" customWidth="1"/>
    <col min="15363" max="15363" width="13.42578125" style="264" customWidth="1"/>
    <col min="15364" max="15364" width="60.85546875" style="264" customWidth="1"/>
    <col min="15365" max="15365" width="72.28515625" style="264" customWidth="1"/>
    <col min="15366" max="15366" width="23.5703125" style="264" customWidth="1"/>
    <col min="15367" max="15368" width="23.42578125" style="264" customWidth="1"/>
    <col min="15369" max="15369" width="25.140625" style="264" customWidth="1"/>
    <col min="15370" max="15373" width="0" style="264" hidden="1" customWidth="1"/>
    <col min="15374" max="15374" width="30.5703125" style="264" customWidth="1"/>
    <col min="15375" max="15375" width="0" style="264" hidden="1" customWidth="1"/>
    <col min="15376" max="15616" width="9.140625" style="264"/>
    <col min="15617" max="15617" width="13.85546875" style="264" customWidth="1"/>
    <col min="15618" max="15618" width="14.140625" style="264" customWidth="1"/>
    <col min="15619" max="15619" width="13.42578125" style="264" customWidth="1"/>
    <col min="15620" max="15620" width="60.85546875" style="264" customWidth="1"/>
    <col min="15621" max="15621" width="72.28515625" style="264" customWidth="1"/>
    <col min="15622" max="15622" width="23.5703125" style="264" customWidth="1"/>
    <col min="15623" max="15624" width="23.42578125" style="264" customWidth="1"/>
    <col min="15625" max="15625" width="25.140625" style="264" customWidth="1"/>
    <col min="15626" max="15629" width="0" style="264" hidden="1" customWidth="1"/>
    <col min="15630" max="15630" width="30.5703125" style="264" customWidth="1"/>
    <col min="15631" max="15631" width="0" style="264" hidden="1" customWidth="1"/>
    <col min="15632" max="15872" width="9.140625" style="264"/>
    <col min="15873" max="15873" width="13.85546875" style="264" customWidth="1"/>
    <col min="15874" max="15874" width="14.140625" style="264" customWidth="1"/>
    <col min="15875" max="15875" width="13.42578125" style="264" customWidth="1"/>
    <col min="15876" max="15876" width="60.85546875" style="264" customWidth="1"/>
    <col min="15877" max="15877" width="72.28515625" style="264" customWidth="1"/>
    <col min="15878" max="15878" width="23.5703125" style="264" customWidth="1"/>
    <col min="15879" max="15880" width="23.42578125" style="264" customWidth="1"/>
    <col min="15881" max="15881" width="25.140625" style="264" customWidth="1"/>
    <col min="15882" max="15885" width="0" style="264" hidden="1" customWidth="1"/>
    <col min="15886" max="15886" width="30.5703125" style="264" customWidth="1"/>
    <col min="15887" max="15887" width="0" style="264" hidden="1" customWidth="1"/>
    <col min="15888" max="16128" width="9.140625" style="264"/>
    <col min="16129" max="16129" width="13.85546875" style="264" customWidth="1"/>
    <col min="16130" max="16130" width="14.140625" style="264" customWidth="1"/>
    <col min="16131" max="16131" width="13.42578125" style="264" customWidth="1"/>
    <col min="16132" max="16132" width="60.85546875" style="264" customWidth="1"/>
    <col min="16133" max="16133" width="72.28515625" style="264" customWidth="1"/>
    <col min="16134" max="16134" width="23.5703125" style="264" customWidth="1"/>
    <col min="16135" max="16136" width="23.42578125" style="264" customWidth="1"/>
    <col min="16137" max="16137" width="25.140625" style="264" customWidth="1"/>
    <col min="16138" max="16141" width="0" style="264" hidden="1" customWidth="1"/>
    <col min="16142" max="16142" width="30.5703125" style="264" customWidth="1"/>
    <col min="16143" max="16143" width="0" style="264" hidden="1" customWidth="1"/>
    <col min="16144" max="16384" width="9.140625" style="264"/>
  </cols>
  <sheetData>
    <row r="1" spans="1:14" ht="20.25" x14ac:dyDescent="0.3">
      <c r="G1" s="920" t="s">
        <v>523</v>
      </c>
      <c r="H1" s="920"/>
      <c r="I1" s="920"/>
      <c r="J1" s="920"/>
    </row>
    <row r="2" spans="1:14" ht="20.25" x14ac:dyDescent="0.3">
      <c r="D2" s="270"/>
      <c r="G2" s="271" t="s">
        <v>184</v>
      </c>
      <c r="H2" s="271"/>
      <c r="I2" s="271"/>
      <c r="J2" s="271"/>
    </row>
    <row r="3" spans="1:14" ht="20.25" x14ac:dyDescent="0.3">
      <c r="G3" s="271" t="s">
        <v>185</v>
      </c>
      <c r="H3" s="271"/>
      <c r="I3" s="271"/>
      <c r="J3" s="271"/>
    </row>
    <row r="4" spans="1:14" s="272" customFormat="1" ht="21" customHeight="1" x14ac:dyDescent="0.3">
      <c r="B4" s="265"/>
      <c r="C4" s="273"/>
      <c r="D4" s="274"/>
      <c r="E4" s="274"/>
      <c r="F4" s="275"/>
      <c r="G4" s="271" t="s">
        <v>989</v>
      </c>
      <c r="H4" s="271"/>
      <c r="I4" s="271"/>
      <c r="J4" s="271"/>
      <c r="K4" s="275"/>
      <c r="L4" s="275"/>
      <c r="M4" s="275"/>
      <c r="N4" s="275"/>
    </row>
    <row r="5" spans="1:14" s="276" customFormat="1" ht="55.5" customHeight="1" x14ac:dyDescent="0.2">
      <c r="A5" s="921" t="s">
        <v>524</v>
      </c>
      <c r="B5" s="921"/>
      <c r="C5" s="921"/>
      <c r="D5" s="921"/>
      <c r="E5" s="921"/>
      <c r="F5" s="921"/>
      <c r="G5" s="921"/>
      <c r="H5" s="921"/>
      <c r="I5" s="921"/>
      <c r="J5" s="921"/>
      <c r="K5" s="921"/>
      <c r="L5" s="921"/>
      <c r="M5" s="921"/>
      <c r="N5" s="921"/>
    </row>
    <row r="6" spans="1:14" s="276" customFormat="1" ht="27.75" customHeight="1" x14ac:dyDescent="0.2">
      <c r="A6" s="922">
        <v>11503000000</v>
      </c>
      <c r="B6" s="922"/>
      <c r="C6" s="922"/>
      <c r="D6" s="277"/>
      <c r="E6" s="277"/>
      <c r="F6" s="278"/>
      <c r="I6" s="278"/>
      <c r="J6" s="278"/>
      <c r="K6" s="278"/>
      <c r="L6" s="278"/>
      <c r="M6" s="278"/>
      <c r="N6" s="278"/>
    </row>
    <row r="7" spans="1:14" s="276" customFormat="1" ht="27.75" customHeight="1" thickBot="1" x14ac:dyDescent="0.3">
      <c r="A7" s="923" t="s">
        <v>2</v>
      </c>
      <c r="B7" s="923"/>
      <c r="C7" s="923"/>
      <c r="D7" s="277"/>
      <c r="E7" s="277"/>
      <c r="F7" s="278"/>
      <c r="I7" s="278"/>
      <c r="J7" s="278"/>
      <c r="K7" s="278"/>
      <c r="L7" s="278"/>
      <c r="M7" s="278"/>
      <c r="N7" s="17" t="s">
        <v>3</v>
      </c>
    </row>
    <row r="8" spans="1:14" s="129" customFormat="1" ht="26.25" customHeight="1" thickBot="1" x14ac:dyDescent="0.25">
      <c r="A8" s="924" t="s">
        <v>525</v>
      </c>
      <c r="B8" s="926" t="s">
        <v>526</v>
      </c>
      <c r="C8" s="924" t="s">
        <v>527</v>
      </c>
      <c r="D8" s="928" t="s">
        <v>528</v>
      </c>
      <c r="E8" s="930" t="s">
        <v>529</v>
      </c>
      <c r="F8" s="932" t="s">
        <v>530</v>
      </c>
      <c r="G8" s="914" t="s">
        <v>531</v>
      </c>
      <c r="H8" s="916" t="s">
        <v>532</v>
      </c>
      <c r="I8" s="918" t="s">
        <v>533</v>
      </c>
      <c r="J8" s="936" t="s">
        <v>534</v>
      </c>
      <c r="K8" s="937"/>
      <c r="L8" s="937"/>
      <c r="M8" s="938"/>
      <c r="N8" s="934" t="s">
        <v>535</v>
      </c>
    </row>
    <row r="9" spans="1:14" s="129" customFormat="1" ht="134.25" customHeight="1" thickBot="1" x14ac:dyDescent="0.25">
      <c r="A9" s="925"/>
      <c r="B9" s="927"/>
      <c r="C9" s="925"/>
      <c r="D9" s="929"/>
      <c r="E9" s="931"/>
      <c r="F9" s="933"/>
      <c r="G9" s="915"/>
      <c r="H9" s="917"/>
      <c r="I9" s="919"/>
      <c r="J9" s="613"/>
      <c r="K9" s="613"/>
      <c r="L9" s="612"/>
      <c r="M9" s="613"/>
      <c r="N9" s="935"/>
    </row>
    <row r="10" spans="1:14" s="279" customFormat="1" ht="18.75" customHeight="1" thickBot="1" x14ac:dyDescent="0.25">
      <c r="A10" s="527" t="s">
        <v>382</v>
      </c>
      <c r="B10" s="527">
        <v>2</v>
      </c>
      <c r="C10" s="527">
        <v>3</v>
      </c>
      <c r="D10" s="528">
        <v>4</v>
      </c>
      <c r="E10" s="527">
        <v>5</v>
      </c>
      <c r="F10" s="528">
        <v>6</v>
      </c>
      <c r="G10" s="527">
        <v>7</v>
      </c>
      <c r="H10" s="529"/>
      <c r="I10" s="529">
        <v>8</v>
      </c>
      <c r="J10" s="527">
        <v>9</v>
      </c>
      <c r="K10" s="527">
        <v>10</v>
      </c>
      <c r="L10" s="527">
        <v>11</v>
      </c>
      <c r="M10" s="527">
        <v>11</v>
      </c>
      <c r="N10" s="527">
        <v>9</v>
      </c>
    </row>
    <row r="11" spans="1:14" s="280" customFormat="1" ht="39" customHeight="1" x14ac:dyDescent="0.2">
      <c r="A11" s="547" t="s">
        <v>15</v>
      </c>
      <c r="B11" s="548"/>
      <c r="C11" s="549"/>
      <c r="D11" s="550" t="s">
        <v>712</v>
      </c>
      <c r="E11" s="551"/>
      <c r="F11" s="552"/>
      <c r="G11" s="552"/>
      <c r="H11" s="552"/>
      <c r="I11" s="553">
        <f>I12</f>
        <v>2735382</v>
      </c>
      <c r="J11" s="552" t="s">
        <v>496</v>
      </c>
      <c r="K11" s="552" t="s">
        <v>496</v>
      </c>
      <c r="L11" s="552" t="s">
        <v>496</v>
      </c>
      <c r="M11" s="552" t="s">
        <v>496</v>
      </c>
      <c r="N11" s="554"/>
    </row>
    <row r="12" spans="1:14" s="280" customFormat="1" ht="24" thickBot="1" x14ac:dyDescent="0.25">
      <c r="A12" s="555" t="s">
        <v>385</v>
      </c>
      <c r="B12" s="556"/>
      <c r="C12" s="556"/>
      <c r="D12" s="557" t="s">
        <v>712</v>
      </c>
      <c r="E12" s="558"/>
      <c r="F12" s="559"/>
      <c r="G12" s="560"/>
      <c r="H12" s="560"/>
      <c r="I12" s="560">
        <f>I24+I83+I98+I18</f>
        <v>2735382</v>
      </c>
      <c r="J12" s="561">
        <v>28362700</v>
      </c>
      <c r="K12" s="562">
        <v>0</v>
      </c>
      <c r="L12" s="562">
        <v>0</v>
      </c>
      <c r="M12" s="562">
        <v>0</v>
      </c>
      <c r="N12" s="563">
        <v>0</v>
      </c>
    </row>
    <row r="13" spans="1:14" s="280" customFormat="1" ht="59.25" hidden="1" customHeight="1" x14ac:dyDescent="0.2">
      <c r="A13" s="564"/>
      <c r="B13" s="539"/>
      <c r="C13" s="539"/>
      <c r="D13" s="540"/>
      <c r="E13" s="541"/>
      <c r="F13" s="542"/>
      <c r="G13" s="543"/>
      <c r="H13" s="543"/>
      <c r="I13" s="544">
        <v>0</v>
      </c>
      <c r="J13" s="545">
        <v>0</v>
      </c>
      <c r="K13" s="546"/>
      <c r="L13" s="546"/>
      <c r="M13" s="546"/>
      <c r="N13" s="565"/>
    </row>
    <row r="14" spans="1:14" s="280" customFormat="1" ht="59.25" hidden="1" customHeight="1" x14ac:dyDescent="0.2">
      <c r="A14" s="566"/>
      <c r="B14" s="530"/>
      <c r="C14" s="530"/>
      <c r="D14" s="531"/>
      <c r="E14" s="532"/>
      <c r="F14" s="533"/>
      <c r="G14" s="534"/>
      <c r="H14" s="534"/>
      <c r="I14" s="308">
        <v>0</v>
      </c>
      <c r="J14" s="535">
        <v>0</v>
      </c>
      <c r="K14" s="310"/>
      <c r="L14" s="310"/>
      <c r="M14" s="310"/>
      <c r="N14" s="567"/>
    </row>
    <row r="15" spans="1:14" s="280" customFormat="1" ht="59.25" hidden="1" customHeight="1" x14ac:dyDescent="0.2">
      <c r="A15" s="566"/>
      <c r="B15" s="530"/>
      <c r="C15" s="530"/>
      <c r="D15" s="531"/>
      <c r="E15" s="532"/>
      <c r="F15" s="533"/>
      <c r="G15" s="534"/>
      <c r="H15" s="534"/>
      <c r="I15" s="308"/>
      <c r="J15" s="535"/>
      <c r="K15" s="310"/>
      <c r="L15" s="310"/>
      <c r="M15" s="310"/>
      <c r="N15" s="567"/>
    </row>
    <row r="16" spans="1:14" s="280" customFormat="1" ht="59.25" hidden="1" customHeight="1" x14ac:dyDescent="0.2">
      <c r="A16" s="566"/>
      <c r="B16" s="530"/>
      <c r="C16" s="530"/>
      <c r="D16" s="531"/>
      <c r="E16" s="532"/>
      <c r="F16" s="533"/>
      <c r="G16" s="534"/>
      <c r="H16" s="534"/>
      <c r="I16" s="308">
        <v>0</v>
      </c>
      <c r="J16" s="535" t="e">
        <v>#REF!</v>
      </c>
      <c r="K16" s="310"/>
      <c r="L16" s="310"/>
      <c r="M16" s="310" t="e">
        <v>#REF!</v>
      </c>
      <c r="N16" s="567"/>
    </row>
    <row r="17" spans="1:14" s="280" customFormat="1" ht="59.25" hidden="1" customHeight="1" x14ac:dyDescent="0.2">
      <c r="A17" s="566"/>
      <c r="B17" s="530"/>
      <c r="C17" s="530"/>
      <c r="D17" s="531"/>
      <c r="E17" s="532"/>
      <c r="F17" s="533"/>
      <c r="G17" s="534"/>
      <c r="H17" s="534"/>
      <c r="I17" s="308">
        <v>0</v>
      </c>
      <c r="J17" s="535">
        <v>0</v>
      </c>
      <c r="K17" s="310"/>
      <c r="L17" s="310"/>
      <c r="M17" s="310"/>
      <c r="N17" s="567"/>
    </row>
    <row r="18" spans="1:14" s="280" customFormat="1" ht="59.25" hidden="1" customHeight="1" x14ac:dyDescent="0.2">
      <c r="A18" s="566" t="s">
        <v>536</v>
      </c>
      <c r="B18" s="530" t="s">
        <v>537</v>
      </c>
      <c r="C18" s="530" t="s">
        <v>172</v>
      </c>
      <c r="D18" s="531" t="s">
        <v>538</v>
      </c>
      <c r="E18" s="532"/>
      <c r="F18" s="533"/>
      <c r="G18" s="534"/>
      <c r="H18" s="534"/>
      <c r="I18" s="534">
        <f>I20</f>
        <v>0</v>
      </c>
      <c r="J18" s="535">
        <v>0</v>
      </c>
      <c r="K18" s="310">
        <v>0</v>
      </c>
      <c r="L18" s="310"/>
      <c r="M18" s="310">
        <v>0</v>
      </c>
      <c r="N18" s="567"/>
    </row>
    <row r="19" spans="1:14" s="280" customFormat="1" ht="20.25" hidden="1" x14ac:dyDescent="0.2">
      <c r="A19" s="566"/>
      <c r="B19" s="530"/>
      <c r="C19" s="530"/>
      <c r="D19" s="531" t="s">
        <v>539</v>
      </c>
      <c r="E19" s="532"/>
      <c r="F19" s="533"/>
      <c r="G19" s="534"/>
      <c r="H19" s="534"/>
      <c r="I19" s="534"/>
      <c r="J19" s="535"/>
      <c r="K19" s="310"/>
      <c r="L19" s="310"/>
      <c r="M19" s="310"/>
      <c r="N19" s="567"/>
    </row>
    <row r="20" spans="1:14" s="280" customFormat="1" ht="74.25" hidden="1" customHeight="1" x14ac:dyDescent="0.2">
      <c r="A20" s="566"/>
      <c r="B20" s="530"/>
      <c r="C20" s="530"/>
      <c r="D20" s="531"/>
      <c r="E20" s="532"/>
      <c r="F20" s="307"/>
      <c r="G20" s="534"/>
      <c r="H20" s="534"/>
      <c r="I20" s="308"/>
      <c r="J20" s="535"/>
      <c r="K20" s="310"/>
      <c r="L20" s="310"/>
      <c r="M20" s="310"/>
      <c r="N20" s="311"/>
    </row>
    <row r="21" spans="1:14" s="280" customFormat="1" ht="59.25" hidden="1" customHeight="1" x14ac:dyDescent="0.2">
      <c r="A21" s="566"/>
      <c r="B21" s="530"/>
      <c r="C21" s="530"/>
      <c r="D21" s="531"/>
      <c r="E21" s="532"/>
      <c r="F21" s="533"/>
      <c r="G21" s="534"/>
      <c r="H21" s="534"/>
      <c r="I21" s="308">
        <v>0</v>
      </c>
      <c r="J21" s="535">
        <v>0</v>
      </c>
      <c r="K21" s="310"/>
      <c r="L21" s="310"/>
      <c r="M21" s="310"/>
      <c r="N21" s="567"/>
    </row>
    <row r="22" spans="1:14" s="280" customFormat="1" ht="59.25" hidden="1" customHeight="1" x14ac:dyDescent="0.2">
      <c r="A22" s="566"/>
      <c r="B22" s="530"/>
      <c r="C22" s="531"/>
      <c r="D22" s="531"/>
      <c r="E22" s="532"/>
      <c r="F22" s="533"/>
      <c r="G22" s="534"/>
      <c r="H22" s="534"/>
      <c r="I22" s="308">
        <v>0</v>
      </c>
      <c r="J22" s="535">
        <v>0</v>
      </c>
      <c r="K22" s="310"/>
      <c r="L22" s="310"/>
      <c r="M22" s="310"/>
      <c r="N22" s="567"/>
    </row>
    <row r="23" spans="1:14" s="280" customFormat="1" ht="59.25" hidden="1" customHeight="1" x14ac:dyDescent="0.2">
      <c r="A23" s="566"/>
      <c r="B23" s="530"/>
      <c r="C23" s="530"/>
      <c r="D23" s="531"/>
      <c r="E23" s="532"/>
      <c r="F23" s="533"/>
      <c r="G23" s="534"/>
      <c r="H23" s="534"/>
      <c r="I23" s="308">
        <v>0</v>
      </c>
      <c r="J23" s="535">
        <v>0</v>
      </c>
      <c r="K23" s="310"/>
      <c r="L23" s="310"/>
      <c r="M23" s="310"/>
      <c r="N23" s="567"/>
    </row>
    <row r="24" spans="1:14" s="280" customFormat="1" ht="40.5" x14ac:dyDescent="0.2">
      <c r="A24" s="566" t="s">
        <v>420</v>
      </c>
      <c r="B24" s="530" t="s">
        <v>421</v>
      </c>
      <c r="C24" s="531" t="s">
        <v>172</v>
      </c>
      <c r="D24" s="532" t="s">
        <v>422</v>
      </c>
      <c r="E24" s="532"/>
      <c r="F24" s="537"/>
      <c r="G24" s="534"/>
      <c r="H24" s="534"/>
      <c r="I24" s="534">
        <f>I26+I27+I28</f>
        <v>1686751</v>
      </c>
      <c r="J24" s="536">
        <v>18362700</v>
      </c>
      <c r="K24" s="310">
        <v>0</v>
      </c>
      <c r="L24" s="310">
        <v>0</v>
      </c>
      <c r="M24" s="310">
        <v>0</v>
      </c>
      <c r="N24" s="567"/>
    </row>
    <row r="25" spans="1:14" s="280" customFormat="1" ht="23.25" customHeight="1" x14ac:dyDescent="0.2">
      <c r="A25" s="566"/>
      <c r="B25" s="530"/>
      <c r="C25" s="530"/>
      <c r="D25" s="531" t="s">
        <v>539</v>
      </c>
      <c r="E25" s="532"/>
      <c r="F25" s="533"/>
      <c r="G25" s="534"/>
      <c r="H25" s="534"/>
      <c r="I25" s="308"/>
      <c r="J25" s="535"/>
      <c r="K25" s="310"/>
      <c r="L25" s="310"/>
      <c r="M25" s="310"/>
      <c r="N25" s="567"/>
    </row>
    <row r="26" spans="1:14" s="280" customFormat="1" ht="152.25" customHeight="1" x14ac:dyDescent="0.2">
      <c r="A26" s="566"/>
      <c r="B26" s="530"/>
      <c r="C26" s="530"/>
      <c r="D26" s="531"/>
      <c r="E26" s="532" t="s">
        <v>676</v>
      </c>
      <c r="F26" s="307" t="s">
        <v>677</v>
      </c>
      <c r="G26" s="534">
        <v>14672816</v>
      </c>
      <c r="H26" s="534">
        <v>12.7</v>
      </c>
      <c r="I26" s="308">
        <v>1277991</v>
      </c>
      <c r="J26" s="536"/>
      <c r="K26" s="310"/>
      <c r="L26" s="310"/>
      <c r="M26" s="310"/>
      <c r="N26" s="311">
        <v>28.5</v>
      </c>
    </row>
    <row r="27" spans="1:14" s="280" customFormat="1" ht="78" customHeight="1" x14ac:dyDescent="0.2">
      <c r="A27" s="566"/>
      <c r="B27" s="530"/>
      <c r="C27" s="530"/>
      <c r="D27" s="531"/>
      <c r="E27" s="538" t="s">
        <v>553</v>
      </c>
      <c r="F27" s="307" t="s">
        <v>778</v>
      </c>
      <c r="G27" s="308">
        <v>5888556</v>
      </c>
      <c r="H27" s="309" t="s">
        <v>678</v>
      </c>
      <c r="I27" s="308">
        <v>214260</v>
      </c>
      <c r="J27" s="310"/>
      <c r="K27" s="310"/>
      <c r="L27" s="310"/>
      <c r="M27" s="310"/>
      <c r="N27" s="311">
        <v>100</v>
      </c>
    </row>
    <row r="28" spans="1:14" s="280" customFormat="1" ht="37.15" customHeight="1" x14ac:dyDescent="0.2">
      <c r="A28" s="285"/>
      <c r="B28" s="285"/>
      <c r="C28" s="285"/>
      <c r="D28" s="286"/>
      <c r="E28" s="287" t="s">
        <v>735</v>
      </c>
      <c r="F28" s="307"/>
      <c r="G28" s="289"/>
      <c r="H28" s="290"/>
      <c r="I28" s="291">
        <v>194500</v>
      </c>
      <c r="J28" s="293"/>
      <c r="K28" s="293"/>
      <c r="L28" s="293"/>
      <c r="M28" s="293"/>
      <c r="N28" s="293"/>
    </row>
    <row r="29" spans="1:14" s="280" customFormat="1" ht="59.25" hidden="1" customHeight="1" x14ac:dyDescent="0.2">
      <c r="A29" s="285"/>
      <c r="B29" s="285"/>
      <c r="C29" s="285"/>
      <c r="D29" s="286"/>
      <c r="E29" s="287"/>
      <c r="F29" s="312"/>
      <c r="G29" s="289"/>
      <c r="H29" s="290"/>
      <c r="I29" s="291">
        <v>0</v>
      </c>
      <c r="J29" s="293">
        <v>0</v>
      </c>
      <c r="K29" s="293"/>
      <c r="L29" s="293"/>
      <c r="M29" s="293"/>
      <c r="N29" s="293"/>
    </row>
    <row r="30" spans="1:14" s="135" customFormat="1" ht="59.25" hidden="1" customHeight="1" x14ac:dyDescent="0.2">
      <c r="A30" s="294"/>
      <c r="B30" s="294"/>
      <c r="C30" s="294"/>
      <c r="D30" s="295"/>
      <c r="E30" s="296"/>
      <c r="F30" s="313">
        <v>0</v>
      </c>
      <c r="G30" s="314">
        <v>0</v>
      </c>
      <c r="H30" s="314"/>
      <c r="I30" s="298">
        <v>0</v>
      </c>
      <c r="J30" s="301">
        <v>0</v>
      </c>
      <c r="K30" s="315">
        <v>0</v>
      </c>
      <c r="L30" s="315">
        <v>0</v>
      </c>
      <c r="M30" s="315">
        <v>0</v>
      </c>
      <c r="N30" s="315"/>
    </row>
    <row r="31" spans="1:14" s="280" customFormat="1" ht="59.25" hidden="1" customHeight="1" x14ac:dyDescent="0.2">
      <c r="A31" s="294"/>
      <c r="B31" s="294"/>
      <c r="C31" s="294"/>
      <c r="D31" s="295"/>
      <c r="E31" s="296"/>
      <c r="F31" s="316"/>
      <c r="G31" s="298"/>
      <c r="H31" s="299"/>
      <c r="I31" s="291">
        <v>0</v>
      </c>
      <c r="J31" s="317">
        <v>0</v>
      </c>
      <c r="K31" s="293"/>
      <c r="L31" s="293"/>
      <c r="M31" s="293"/>
      <c r="N31" s="293"/>
    </row>
    <row r="32" spans="1:14" s="280" customFormat="1" ht="59.25" hidden="1" customHeight="1" x14ac:dyDescent="0.2">
      <c r="A32" s="294"/>
      <c r="B32" s="294"/>
      <c r="C32" s="294"/>
      <c r="D32" s="295"/>
      <c r="E32" s="296"/>
      <c r="F32" s="316"/>
      <c r="G32" s="298"/>
      <c r="H32" s="299"/>
      <c r="I32" s="291">
        <v>0</v>
      </c>
      <c r="J32" s="292">
        <v>0</v>
      </c>
      <c r="K32" s="293"/>
      <c r="L32" s="293"/>
      <c r="M32" s="293"/>
      <c r="N32" s="293"/>
    </row>
    <row r="33" spans="1:14" s="280" customFormat="1" ht="59.25" hidden="1" customHeight="1" x14ac:dyDescent="0.2">
      <c r="A33" s="294"/>
      <c r="B33" s="294"/>
      <c r="C33" s="294"/>
      <c r="D33" s="295"/>
      <c r="E33" s="296"/>
      <c r="F33" s="316"/>
      <c r="G33" s="298"/>
      <c r="H33" s="299"/>
      <c r="I33" s="291">
        <v>0</v>
      </c>
      <c r="J33" s="318">
        <v>0</v>
      </c>
      <c r="K33" s="319"/>
      <c r="L33" s="319"/>
      <c r="M33" s="319"/>
      <c r="N33" s="319"/>
    </row>
    <row r="34" spans="1:14" s="280" customFormat="1" ht="59.25" hidden="1" customHeight="1" x14ac:dyDescent="0.2">
      <c r="A34" s="285"/>
      <c r="B34" s="285"/>
      <c r="C34" s="285"/>
      <c r="D34" s="320"/>
      <c r="E34" s="287"/>
      <c r="F34" s="306"/>
      <c r="G34" s="289">
        <v>0</v>
      </c>
      <c r="H34" s="289"/>
      <c r="I34" s="289">
        <v>0</v>
      </c>
      <c r="J34" s="292">
        <v>0</v>
      </c>
      <c r="K34" s="293">
        <v>0</v>
      </c>
      <c r="L34" s="293"/>
      <c r="M34" s="293">
        <v>0</v>
      </c>
      <c r="N34" s="293"/>
    </row>
    <row r="35" spans="1:14" s="280" customFormat="1" ht="59.25" hidden="1" customHeight="1" x14ac:dyDescent="0.2">
      <c r="A35" s="321"/>
      <c r="B35" s="285"/>
      <c r="C35" s="321"/>
      <c r="D35" s="320"/>
      <c r="E35" s="287"/>
      <c r="F35" s="322"/>
      <c r="G35" s="323"/>
      <c r="H35" s="324"/>
      <c r="I35" s="324"/>
      <c r="J35" s="325"/>
      <c r="K35" s="326"/>
      <c r="L35" s="326"/>
      <c r="M35" s="326"/>
      <c r="N35" s="326"/>
    </row>
    <row r="36" spans="1:14" s="280" customFormat="1" ht="59.25" hidden="1" customHeight="1" x14ac:dyDescent="0.2">
      <c r="A36" s="321"/>
      <c r="B36" s="285"/>
      <c r="C36" s="321"/>
      <c r="D36" s="320"/>
      <c r="E36" s="287"/>
      <c r="F36" s="312"/>
      <c r="G36" s="289"/>
      <c r="H36" s="290"/>
      <c r="I36" s="291">
        <v>0</v>
      </c>
      <c r="J36" s="292">
        <v>0</v>
      </c>
      <c r="K36" s="327"/>
      <c r="L36" s="327"/>
      <c r="M36" s="327"/>
      <c r="N36" s="328"/>
    </row>
    <row r="37" spans="1:14" s="280" customFormat="1" ht="59.25" hidden="1" customHeight="1" x14ac:dyDescent="0.2">
      <c r="A37" s="329"/>
      <c r="B37" s="294"/>
      <c r="C37" s="329"/>
      <c r="D37" s="330"/>
      <c r="E37" s="296"/>
      <c r="F37" s="316"/>
      <c r="G37" s="298"/>
      <c r="H37" s="281"/>
      <c r="I37" s="282">
        <v>0</v>
      </c>
      <c r="J37" s="283">
        <v>0</v>
      </c>
      <c r="K37" s="327"/>
      <c r="L37" s="327"/>
      <c r="M37" s="327"/>
      <c r="N37" s="327"/>
    </row>
    <row r="38" spans="1:14" s="280" customFormat="1" ht="59.25" hidden="1" customHeight="1" x14ac:dyDescent="0.2">
      <c r="A38" s="329"/>
      <c r="B38" s="294"/>
      <c r="C38" s="329"/>
      <c r="D38" s="330"/>
      <c r="E38" s="296"/>
      <c r="F38" s="316"/>
      <c r="G38" s="298"/>
      <c r="H38" s="299"/>
      <c r="I38" s="291">
        <v>0</v>
      </c>
      <c r="J38" s="283">
        <v>0</v>
      </c>
      <c r="K38" s="327"/>
      <c r="L38" s="327"/>
      <c r="M38" s="327"/>
      <c r="N38" s="327"/>
    </row>
    <row r="39" spans="1:14" s="280" customFormat="1" ht="59.25" hidden="1" customHeight="1" x14ac:dyDescent="0.2">
      <c r="A39" s="321"/>
      <c r="B39" s="285"/>
      <c r="C39" s="321"/>
      <c r="D39" s="331"/>
      <c r="E39" s="287"/>
      <c r="F39" s="312"/>
      <c r="G39" s="289"/>
      <c r="H39" s="290"/>
      <c r="I39" s="291">
        <v>0</v>
      </c>
      <c r="J39" s="292">
        <v>0</v>
      </c>
      <c r="K39" s="327"/>
      <c r="L39" s="327"/>
      <c r="M39" s="327"/>
      <c r="N39" s="327"/>
    </row>
    <row r="40" spans="1:14" s="280" customFormat="1" ht="59.25" hidden="1" customHeight="1" x14ac:dyDescent="0.2">
      <c r="A40" s="329"/>
      <c r="B40" s="294"/>
      <c r="C40" s="329"/>
      <c r="D40" s="330"/>
      <c r="E40" s="296"/>
      <c r="F40" s="316"/>
      <c r="G40" s="298"/>
      <c r="H40" s="299"/>
      <c r="I40" s="291">
        <v>0</v>
      </c>
      <c r="J40" s="284">
        <v>0</v>
      </c>
      <c r="K40" s="332"/>
      <c r="L40" s="332"/>
      <c r="M40" s="332"/>
      <c r="N40" s="332"/>
    </row>
    <row r="41" spans="1:14" s="280" customFormat="1" ht="59.25" hidden="1" customHeight="1" x14ac:dyDescent="0.2">
      <c r="A41" s="294"/>
      <c r="B41" s="294"/>
      <c r="C41" s="294"/>
      <c r="D41" s="333"/>
      <c r="E41" s="296"/>
      <c r="F41" s="316"/>
      <c r="G41" s="298"/>
      <c r="H41" s="299"/>
      <c r="I41" s="291">
        <v>0</v>
      </c>
      <c r="J41" s="284">
        <v>0</v>
      </c>
      <c r="K41" s="332"/>
      <c r="L41" s="332"/>
      <c r="M41" s="332"/>
      <c r="N41" s="332"/>
    </row>
    <row r="42" spans="1:14" s="280" customFormat="1" ht="59.25" hidden="1" customHeight="1" x14ac:dyDescent="0.2">
      <c r="A42" s="294"/>
      <c r="B42" s="294"/>
      <c r="C42" s="294"/>
      <c r="D42" s="295"/>
      <c r="E42" s="296"/>
      <c r="F42" s="334">
        <v>0</v>
      </c>
      <c r="G42" s="298">
        <v>0</v>
      </c>
      <c r="H42" s="298"/>
      <c r="I42" s="298">
        <v>0</v>
      </c>
      <c r="J42" s="302">
        <v>0</v>
      </c>
      <c r="K42" s="302">
        <v>0</v>
      </c>
      <c r="L42" s="302">
        <v>0</v>
      </c>
      <c r="M42" s="302">
        <v>0</v>
      </c>
      <c r="N42" s="302"/>
    </row>
    <row r="43" spans="1:14" s="280" customFormat="1" ht="59.25" hidden="1" customHeight="1" x14ac:dyDescent="0.2">
      <c r="A43" s="329"/>
      <c r="B43" s="294"/>
      <c r="C43" s="329"/>
      <c r="D43" s="335"/>
      <c r="E43" s="296"/>
      <c r="F43" s="336">
        <v>0</v>
      </c>
      <c r="G43" s="337">
        <v>0</v>
      </c>
      <c r="H43" s="337"/>
      <c r="I43" s="337">
        <v>0</v>
      </c>
      <c r="J43" s="338">
        <v>0</v>
      </c>
      <c r="K43" s="339">
        <v>0</v>
      </c>
      <c r="L43" s="339">
        <v>0</v>
      </c>
      <c r="M43" s="339">
        <v>0</v>
      </c>
      <c r="N43" s="339"/>
    </row>
    <row r="44" spans="1:14" s="280" customFormat="1" ht="59.25" hidden="1" customHeight="1" x14ac:dyDescent="0.2">
      <c r="A44" s="329"/>
      <c r="B44" s="294"/>
      <c r="C44" s="329"/>
      <c r="D44" s="340"/>
      <c r="E44" s="296"/>
      <c r="F44" s="316"/>
      <c r="G44" s="298"/>
      <c r="H44" s="299"/>
      <c r="I44" s="291">
        <v>0</v>
      </c>
      <c r="J44" s="284">
        <v>0</v>
      </c>
      <c r="K44" s="326"/>
      <c r="L44" s="326"/>
      <c r="M44" s="326"/>
      <c r="N44" s="326"/>
    </row>
    <row r="45" spans="1:14" s="280" customFormat="1" ht="59.25" hidden="1" customHeight="1" x14ac:dyDescent="0.2">
      <c r="A45" s="285"/>
      <c r="B45" s="285"/>
      <c r="C45" s="285"/>
      <c r="D45" s="286"/>
      <c r="E45" s="287"/>
      <c r="F45" s="312"/>
      <c r="G45" s="289"/>
      <c r="H45" s="290"/>
      <c r="I45" s="291">
        <v>0</v>
      </c>
      <c r="J45" s="327">
        <v>0</v>
      </c>
      <c r="K45" s="327"/>
      <c r="L45" s="327"/>
      <c r="M45" s="327"/>
      <c r="N45" s="327"/>
    </row>
    <row r="46" spans="1:14" s="280" customFormat="1" ht="59.25" hidden="1" customHeight="1" x14ac:dyDescent="0.2">
      <c r="A46" s="329"/>
      <c r="B46" s="294"/>
      <c r="C46" s="329"/>
      <c r="D46" s="341"/>
      <c r="E46" s="342"/>
      <c r="F46" s="343"/>
      <c r="G46" s="337"/>
      <c r="H46" s="344"/>
      <c r="I46" s="345"/>
      <c r="J46" s="326"/>
      <c r="K46" s="326"/>
      <c r="L46" s="326"/>
      <c r="M46" s="326"/>
      <c r="N46" s="326"/>
    </row>
    <row r="47" spans="1:14" s="280" customFormat="1" ht="59.25" hidden="1" customHeight="1" x14ac:dyDescent="0.2">
      <c r="A47" s="294"/>
      <c r="B47" s="294"/>
      <c r="C47" s="294"/>
      <c r="D47" s="295"/>
      <c r="E47" s="296"/>
      <c r="F47" s="316"/>
      <c r="G47" s="298"/>
      <c r="H47" s="299"/>
      <c r="I47" s="291"/>
      <c r="J47" s="327"/>
      <c r="K47" s="327"/>
      <c r="L47" s="327"/>
      <c r="M47" s="327"/>
      <c r="N47" s="327"/>
    </row>
    <row r="48" spans="1:14" ht="59.25" hidden="1" customHeight="1" x14ac:dyDescent="0.2">
      <c r="A48" s="285"/>
      <c r="B48" s="285"/>
      <c r="C48" s="285"/>
      <c r="D48" s="320"/>
      <c r="E48" s="346"/>
      <c r="F48" s="347">
        <v>0</v>
      </c>
      <c r="G48" s="323">
        <v>0</v>
      </c>
      <c r="H48" s="323"/>
      <c r="I48" s="323">
        <v>0</v>
      </c>
      <c r="J48" s="338">
        <v>0</v>
      </c>
      <c r="K48" s="338">
        <v>0</v>
      </c>
      <c r="L48" s="338"/>
      <c r="M48" s="338">
        <v>0</v>
      </c>
      <c r="N48" s="338"/>
    </row>
    <row r="49" spans="1:14" ht="59.25" hidden="1" customHeight="1" x14ac:dyDescent="0.2">
      <c r="A49" s="348"/>
      <c r="B49" s="349"/>
      <c r="C49" s="348"/>
      <c r="D49" s="340"/>
      <c r="E49" s="350"/>
      <c r="F49" s="351"/>
      <c r="G49" s="352"/>
      <c r="H49" s="353"/>
      <c r="I49" s="353"/>
      <c r="J49" s="284"/>
      <c r="K49" s="284"/>
      <c r="L49" s="328"/>
      <c r="M49" s="328"/>
      <c r="N49" s="328"/>
    </row>
    <row r="50" spans="1:14" ht="59.25" hidden="1" customHeight="1" x14ac:dyDescent="0.2">
      <c r="A50" s="354"/>
      <c r="B50" s="285"/>
      <c r="C50" s="354"/>
      <c r="D50" s="355"/>
      <c r="E50" s="356"/>
      <c r="F50" s="312"/>
      <c r="G50" s="289"/>
      <c r="H50" s="290"/>
      <c r="I50" s="291">
        <v>0</v>
      </c>
      <c r="J50" s="293">
        <v>0</v>
      </c>
      <c r="K50" s="293"/>
      <c r="L50" s="327"/>
      <c r="M50" s="327"/>
      <c r="N50" s="327"/>
    </row>
    <row r="51" spans="1:14" ht="59.25" hidden="1" customHeight="1" x14ac:dyDescent="0.2">
      <c r="A51" s="348"/>
      <c r="B51" s="349"/>
      <c r="C51" s="348"/>
      <c r="D51" s="340"/>
      <c r="E51" s="356"/>
      <c r="F51" s="312"/>
      <c r="G51" s="289"/>
      <c r="H51" s="290"/>
      <c r="I51" s="291">
        <v>0</v>
      </c>
      <c r="J51" s="293">
        <v>0</v>
      </c>
      <c r="K51" s="284"/>
      <c r="L51" s="328"/>
      <c r="M51" s="328"/>
      <c r="N51" s="328"/>
    </row>
    <row r="52" spans="1:14" ht="59.25" hidden="1" customHeight="1" x14ac:dyDescent="0.2">
      <c r="A52" s="348"/>
      <c r="B52" s="349"/>
      <c r="C52" s="348"/>
      <c r="D52" s="340"/>
      <c r="E52" s="350"/>
      <c r="F52" s="351"/>
      <c r="G52" s="352"/>
      <c r="H52" s="353"/>
      <c r="I52" s="291">
        <v>0</v>
      </c>
      <c r="J52" s="293">
        <v>0</v>
      </c>
      <c r="K52" s="284"/>
      <c r="L52" s="328"/>
      <c r="M52" s="328"/>
      <c r="N52" s="328"/>
    </row>
    <row r="53" spans="1:14" s="358" customFormat="1" ht="59.25" hidden="1" customHeight="1" x14ac:dyDescent="0.2">
      <c r="A53" s="285"/>
      <c r="B53" s="285"/>
      <c r="C53" s="285"/>
      <c r="D53" s="320"/>
      <c r="E53" s="287"/>
      <c r="F53" s="306"/>
      <c r="G53" s="289">
        <v>0</v>
      </c>
      <c r="H53" s="289"/>
      <c r="I53" s="289">
        <v>0</v>
      </c>
      <c r="J53" s="357">
        <v>0</v>
      </c>
      <c r="K53" s="293">
        <v>0</v>
      </c>
      <c r="L53" s="293"/>
      <c r="M53" s="293">
        <v>0</v>
      </c>
      <c r="N53" s="338"/>
    </row>
    <row r="54" spans="1:14" ht="59.25" hidden="1" customHeight="1" x14ac:dyDescent="0.2">
      <c r="A54" s="354"/>
      <c r="B54" s="285"/>
      <c r="C54" s="354"/>
      <c r="D54" s="355"/>
      <c r="E54" s="356"/>
      <c r="F54" s="312"/>
      <c r="G54" s="289"/>
      <c r="H54" s="290"/>
      <c r="I54" s="291"/>
      <c r="J54" s="293"/>
      <c r="K54" s="293"/>
      <c r="L54" s="327"/>
      <c r="M54" s="327"/>
      <c r="N54" s="327"/>
    </row>
    <row r="55" spans="1:14" ht="59.25" hidden="1" customHeight="1" x14ac:dyDescent="0.2">
      <c r="A55" s="354"/>
      <c r="B55" s="285"/>
      <c r="C55" s="354"/>
      <c r="D55" s="355"/>
      <c r="E55" s="356"/>
      <c r="F55" s="312"/>
      <c r="G55" s="289"/>
      <c r="H55" s="290"/>
      <c r="I55" s="291">
        <v>0</v>
      </c>
      <c r="J55" s="293">
        <v>0</v>
      </c>
      <c r="K55" s="293"/>
      <c r="L55" s="327"/>
      <c r="M55" s="327"/>
      <c r="N55" s="327"/>
    </row>
    <row r="56" spans="1:14" ht="59.25" hidden="1" customHeight="1" x14ac:dyDescent="0.2">
      <c r="A56" s="354"/>
      <c r="B56" s="285"/>
      <c r="C56" s="354"/>
      <c r="D56" s="355"/>
      <c r="E56" s="356"/>
      <c r="F56" s="312"/>
      <c r="G56" s="289"/>
      <c r="H56" s="290"/>
      <c r="I56" s="291">
        <v>0</v>
      </c>
      <c r="J56" s="293">
        <v>0</v>
      </c>
      <c r="K56" s="293"/>
      <c r="L56" s="327"/>
      <c r="M56" s="327"/>
      <c r="N56" s="327"/>
    </row>
    <row r="57" spans="1:14" ht="59.25" hidden="1" customHeight="1" x14ac:dyDescent="0.2">
      <c r="A57" s="354"/>
      <c r="B57" s="285"/>
      <c r="C57" s="354"/>
      <c r="D57" s="355"/>
      <c r="E57" s="356"/>
      <c r="F57" s="305"/>
      <c r="G57" s="289"/>
      <c r="H57" s="290"/>
      <c r="I57" s="291">
        <v>0</v>
      </c>
      <c r="J57" s="293">
        <v>0</v>
      </c>
      <c r="K57" s="293"/>
      <c r="L57" s="327"/>
      <c r="M57" s="327"/>
      <c r="N57" s="327"/>
    </row>
    <row r="58" spans="1:14" s="358" customFormat="1" ht="59.25" hidden="1" customHeight="1" x14ac:dyDescent="0.2">
      <c r="A58" s="285"/>
      <c r="B58" s="285"/>
      <c r="C58" s="285"/>
      <c r="D58" s="320"/>
      <c r="E58" s="287"/>
      <c r="F58" s="288">
        <v>0</v>
      </c>
      <c r="G58" s="289">
        <v>0</v>
      </c>
      <c r="H58" s="289"/>
      <c r="I58" s="289">
        <v>0</v>
      </c>
      <c r="J58" s="293">
        <v>0</v>
      </c>
      <c r="K58" s="293">
        <v>0</v>
      </c>
      <c r="L58" s="293">
        <v>0</v>
      </c>
      <c r="M58" s="293">
        <v>0</v>
      </c>
      <c r="N58" s="293"/>
    </row>
    <row r="59" spans="1:14" ht="59.25" hidden="1" customHeight="1" x14ac:dyDescent="0.2">
      <c r="A59" s="354"/>
      <c r="B59" s="285"/>
      <c r="C59" s="354"/>
      <c r="D59" s="355"/>
      <c r="E59" s="356"/>
      <c r="F59" s="305"/>
      <c r="G59" s="289"/>
      <c r="H59" s="290"/>
      <c r="I59" s="291"/>
      <c r="J59" s="293"/>
      <c r="K59" s="293"/>
      <c r="L59" s="327"/>
      <c r="M59" s="327"/>
      <c r="N59" s="327"/>
    </row>
    <row r="60" spans="1:14" ht="59.25" hidden="1" customHeight="1" x14ac:dyDescent="0.2">
      <c r="A60" s="354"/>
      <c r="B60" s="285"/>
      <c r="C60" s="354"/>
      <c r="D60" s="355"/>
      <c r="E60" s="356"/>
      <c r="F60" s="305"/>
      <c r="G60" s="289"/>
      <c r="H60" s="290"/>
      <c r="I60" s="291">
        <v>0</v>
      </c>
      <c r="J60" s="293">
        <v>0</v>
      </c>
      <c r="K60" s="293"/>
      <c r="L60" s="327"/>
      <c r="M60" s="327"/>
      <c r="N60" s="327"/>
    </row>
    <row r="61" spans="1:14" ht="59.25" hidden="1" customHeight="1" x14ac:dyDescent="0.2">
      <c r="A61" s="354"/>
      <c r="B61" s="285"/>
      <c r="C61" s="354"/>
      <c r="D61" s="355"/>
      <c r="E61" s="356"/>
      <c r="F61" s="305"/>
      <c r="G61" s="289"/>
      <c r="H61" s="290"/>
      <c r="I61" s="291"/>
      <c r="J61" s="293"/>
      <c r="K61" s="293"/>
      <c r="L61" s="327"/>
      <c r="M61" s="327"/>
      <c r="N61" s="327"/>
    </row>
    <row r="62" spans="1:14" ht="59.25" hidden="1" customHeight="1" x14ac:dyDescent="0.2">
      <c r="A62" s="354"/>
      <c r="B62" s="285"/>
      <c r="C62" s="354"/>
      <c r="D62" s="355"/>
      <c r="E62" s="356"/>
      <c r="F62" s="305"/>
      <c r="G62" s="289"/>
      <c r="H62" s="290"/>
      <c r="I62" s="291">
        <v>0</v>
      </c>
      <c r="J62" s="293">
        <v>0</v>
      </c>
      <c r="K62" s="293"/>
      <c r="L62" s="327"/>
      <c r="M62" s="327"/>
      <c r="N62" s="327"/>
    </row>
    <row r="63" spans="1:14" s="358" customFormat="1" ht="59.25" hidden="1" customHeight="1" x14ac:dyDescent="0.2">
      <c r="A63" s="285"/>
      <c r="B63" s="285"/>
      <c r="C63" s="285"/>
      <c r="D63" s="320"/>
      <c r="E63" s="287"/>
      <c r="F63" s="306"/>
      <c r="G63" s="289">
        <v>0</v>
      </c>
      <c r="H63" s="289"/>
      <c r="I63" s="289">
        <v>0</v>
      </c>
      <c r="J63" s="292">
        <v>0</v>
      </c>
      <c r="K63" s="293">
        <v>0</v>
      </c>
      <c r="L63" s="293">
        <v>0</v>
      </c>
      <c r="M63" s="293">
        <v>0</v>
      </c>
      <c r="N63" s="293"/>
    </row>
    <row r="64" spans="1:14" ht="59.25" hidden="1" customHeight="1" x14ac:dyDescent="0.2">
      <c r="A64" s="354"/>
      <c r="B64" s="285"/>
      <c r="C64" s="354"/>
      <c r="D64" s="355"/>
      <c r="E64" s="356"/>
      <c r="F64" s="305"/>
      <c r="G64" s="289"/>
      <c r="H64" s="290"/>
      <c r="I64" s="291"/>
      <c r="J64" s="292"/>
      <c r="K64" s="293"/>
      <c r="L64" s="327"/>
      <c r="M64" s="327"/>
      <c r="N64" s="327"/>
    </row>
    <row r="65" spans="1:14" ht="59.25" hidden="1" customHeight="1" x14ac:dyDescent="0.2">
      <c r="A65" s="354"/>
      <c r="B65" s="285"/>
      <c r="C65" s="354"/>
      <c r="D65" s="355"/>
      <c r="E65" s="356"/>
      <c r="F65" s="312"/>
      <c r="G65" s="289"/>
      <c r="H65" s="290"/>
      <c r="I65" s="291">
        <v>0</v>
      </c>
      <c r="J65" s="292">
        <v>0</v>
      </c>
      <c r="K65" s="293"/>
      <c r="L65" s="327"/>
      <c r="M65" s="327"/>
      <c r="N65" s="327"/>
    </row>
    <row r="66" spans="1:14" ht="59.25" hidden="1" customHeight="1" x14ac:dyDescent="0.2">
      <c r="A66" s="354"/>
      <c r="B66" s="285"/>
      <c r="C66" s="354"/>
      <c r="D66" s="355"/>
      <c r="E66" s="356"/>
      <c r="F66" s="312"/>
      <c r="G66" s="289"/>
      <c r="H66" s="290"/>
      <c r="I66" s="291">
        <v>0</v>
      </c>
      <c r="J66" s="293">
        <v>0</v>
      </c>
      <c r="K66" s="293"/>
      <c r="L66" s="327"/>
      <c r="M66" s="327"/>
      <c r="N66" s="327"/>
    </row>
    <row r="67" spans="1:14" ht="59.25" hidden="1" customHeight="1" x14ac:dyDescent="0.2">
      <c r="A67" s="354"/>
      <c r="B67" s="285"/>
      <c r="C67" s="354"/>
      <c r="D67" s="355"/>
      <c r="E67" s="356"/>
      <c r="F67" s="312"/>
      <c r="G67" s="289"/>
      <c r="H67" s="290"/>
      <c r="I67" s="291">
        <v>0</v>
      </c>
      <c r="J67" s="293">
        <v>0</v>
      </c>
      <c r="K67" s="293"/>
      <c r="L67" s="327">
        <v>0</v>
      </c>
      <c r="M67" s="327"/>
      <c r="N67" s="327"/>
    </row>
    <row r="68" spans="1:14" ht="59.25" hidden="1" customHeight="1" x14ac:dyDescent="0.2">
      <c r="A68" s="354"/>
      <c r="B68" s="285"/>
      <c r="C68" s="354"/>
      <c r="D68" s="355"/>
      <c r="E68" s="356"/>
      <c r="F68" s="312"/>
      <c r="G68" s="289"/>
      <c r="H68" s="290"/>
      <c r="I68" s="291">
        <v>0</v>
      </c>
      <c r="J68" s="293">
        <v>0</v>
      </c>
      <c r="K68" s="293"/>
      <c r="L68" s="327"/>
      <c r="M68" s="327"/>
      <c r="N68" s="327"/>
    </row>
    <row r="69" spans="1:14" ht="59.25" hidden="1" customHeight="1" x14ac:dyDescent="0.2">
      <c r="A69" s="354"/>
      <c r="B69" s="285"/>
      <c r="C69" s="354"/>
      <c r="D69" s="355"/>
      <c r="E69" s="356"/>
      <c r="F69" s="312"/>
      <c r="G69" s="289"/>
      <c r="H69" s="290"/>
      <c r="I69" s="291">
        <v>0</v>
      </c>
      <c r="J69" s="293">
        <v>0</v>
      </c>
      <c r="K69" s="293"/>
      <c r="L69" s="327"/>
      <c r="M69" s="327"/>
      <c r="N69" s="327"/>
    </row>
    <row r="70" spans="1:14" ht="59.25" hidden="1" customHeight="1" x14ac:dyDescent="0.2">
      <c r="A70" s="354"/>
      <c r="B70" s="285"/>
      <c r="C70" s="354"/>
      <c r="D70" s="355"/>
      <c r="E70" s="356"/>
      <c r="F70" s="312"/>
      <c r="G70" s="289"/>
      <c r="H70" s="290"/>
      <c r="I70" s="291">
        <v>0</v>
      </c>
      <c r="J70" s="293">
        <v>0</v>
      </c>
      <c r="K70" s="293"/>
      <c r="L70" s="327"/>
      <c r="M70" s="327"/>
      <c r="N70" s="327"/>
    </row>
    <row r="71" spans="1:14" ht="59.25" hidden="1" customHeight="1" x14ac:dyDescent="0.2">
      <c r="A71" s="354"/>
      <c r="B71" s="285"/>
      <c r="C71" s="354"/>
      <c r="D71" s="355"/>
      <c r="E71" s="356"/>
      <c r="F71" s="312"/>
      <c r="G71" s="289"/>
      <c r="H71" s="290"/>
      <c r="I71" s="291">
        <v>0</v>
      </c>
      <c r="J71" s="293">
        <v>0</v>
      </c>
      <c r="K71" s="293"/>
      <c r="L71" s="327"/>
      <c r="M71" s="327"/>
      <c r="N71" s="327"/>
    </row>
    <row r="72" spans="1:14" s="358" customFormat="1" ht="59.25" hidden="1" customHeight="1" x14ac:dyDescent="0.2">
      <c r="A72" s="359"/>
      <c r="B72" s="285"/>
      <c r="C72" s="359"/>
      <c r="D72" s="360"/>
      <c r="E72" s="361"/>
      <c r="F72" s="347">
        <v>0</v>
      </c>
      <c r="G72" s="323">
        <v>0</v>
      </c>
      <c r="H72" s="323"/>
      <c r="I72" s="323">
        <v>0</v>
      </c>
      <c r="J72" s="338">
        <v>0</v>
      </c>
      <c r="K72" s="338">
        <v>0</v>
      </c>
      <c r="L72" s="338">
        <v>0</v>
      </c>
      <c r="M72" s="338">
        <v>0</v>
      </c>
      <c r="N72" s="338"/>
    </row>
    <row r="73" spans="1:14" ht="59.25" hidden="1" customHeight="1" x14ac:dyDescent="0.2">
      <c r="A73" s="354"/>
      <c r="B73" s="285"/>
      <c r="C73" s="354"/>
      <c r="D73" s="355"/>
      <c r="E73" s="356"/>
      <c r="F73" s="312"/>
      <c r="G73" s="289"/>
      <c r="H73" s="290"/>
      <c r="I73" s="291"/>
      <c r="J73" s="293"/>
      <c r="K73" s="293"/>
      <c r="L73" s="327"/>
      <c r="M73" s="327"/>
      <c r="N73" s="327"/>
    </row>
    <row r="74" spans="1:14" ht="59.25" hidden="1" customHeight="1" x14ac:dyDescent="0.2">
      <c r="A74" s="354"/>
      <c r="B74" s="285"/>
      <c r="C74" s="354"/>
      <c r="D74" s="355"/>
      <c r="E74" s="356"/>
      <c r="F74" s="312"/>
      <c r="G74" s="289"/>
      <c r="H74" s="290"/>
      <c r="I74" s="291">
        <v>0</v>
      </c>
      <c r="J74" s="293">
        <v>0</v>
      </c>
      <c r="K74" s="293"/>
      <c r="L74" s="327"/>
      <c r="M74" s="327"/>
      <c r="N74" s="327"/>
    </row>
    <row r="75" spans="1:14" ht="59.25" hidden="1" customHeight="1" x14ac:dyDescent="0.2">
      <c r="A75" s="354"/>
      <c r="B75" s="285"/>
      <c r="C75" s="354"/>
      <c r="D75" s="355"/>
      <c r="E75" s="356"/>
      <c r="F75" s="312"/>
      <c r="G75" s="289"/>
      <c r="H75" s="290"/>
      <c r="I75" s="291">
        <v>0</v>
      </c>
      <c r="J75" s="293">
        <v>0</v>
      </c>
      <c r="K75" s="293"/>
      <c r="L75" s="327"/>
      <c r="M75" s="327"/>
      <c r="N75" s="327"/>
    </row>
    <row r="76" spans="1:14" ht="59.25" hidden="1" customHeight="1" x14ac:dyDescent="0.2">
      <c r="A76" s="354"/>
      <c r="B76" s="285"/>
      <c r="C76" s="354"/>
      <c r="D76" s="355"/>
      <c r="E76" s="356"/>
      <c r="F76" s="305"/>
      <c r="G76" s="289"/>
      <c r="H76" s="290"/>
      <c r="I76" s="291">
        <v>0</v>
      </c>
      <c r="J76" s="293">
        <v>0</v>
      </c>
      <c r="K76" s="293"/>
      <c r="L76" s="327"/>
      <c r="M76" s="327"/>
      <c r="N76" s="327"/>
    </row>
    <row r="77" spans="1:14" ht="59.25" hidden="1" customHeight="1" x14ac:dyDescent="0.2">
      <c r="A77" s="354"/>
      <c r="B77" s="285"/>
      <c r="C77" s="354"/>
      <c r="D77" s="355"/>
      <c r="E77" s="356"/>
      <c r="F77" s="305"/>
      <c r="G77" s="289"/>
      <c r="H77" s="290"/>
      <c r="I77" s="291">
        <v>0</v>
      </c>
      <c r="J77" s="293">
        <v>0</v>
      </c>
      <c r="K77" s="293"/>
      <c r="L77" s="327"/>
      <c r="M77" s="327"/>
      <c r="N77" s="327"/>
    </row>
    <row r="78" spans="1:14" ht="59.25" hidden="1" customHeight="1" x14ac:dyDescent="0.2">
      <c r="A78" s="354"/>
      <c r="B78" s="285"/>
      <c r="C78" s="354"/>
      <c r="D78" s="355"/>
      <c r="E78" s="356"/>
      <c r="F78" s="305"/>
      <c r="G78" s="289"/>
      <c r="H78" s="290"/>
      <c r="I78" s="291">
        <v>0</v>
      </c>
      <c r="J78" s="293">
        <v>0</v>
      </c>
      <c r="K78" s="293"/>
      <c r="L78" s="327"/>
      <c r="M78" s="327"/>
      <c r="N78" s="327"/>
    </row>
    <row r="79" spans="1:14" ht="59.25" hidden="1" customHeight="1" x14ac:dyDescent="0.2">
      <c r="A79" s="354"/>
      <c r="B79" s="285"/>
      <c r="C79" s="354"/>
      <c r="D79" s="355"/>
      <c r="E79" s="356"/>
      <c r="F79" s="305"/>
      <c r="G79" s="289"/>
      <c r="H79" s="290"/>
      <c r="I79" s="291">
        <v>0</v>
      </c>
      <c r="J79" s="293">
        <v>0</v>
      </c>
      <c r="K79" s="293">
        <v>0</v>
      </c>
      <c r="L79" s="327"/>
      <c r="M79" s="327"/>
      <c r="N79" s="327"/>
    </row>
    <row r="80" spans="1:14" ht="59.25" hidden="1" customHeight="1" x14ac:dyDescent="0.2">
      <c r="A80" s="354"/>
      <c r="B80" s="285"/>
      <c r="C80" s="354"/>
      <c r="D80" s="355"/>
      <c r="E80" s="356"/>
      <c r="F80" s="288">
        <v>0</v>
      </c>
      <c r="G80" s="289">
        <v>0</v>
      </c>
      <c r="H80" s="289"/>
      <c r="I80" s="289">
        <v>0</v>
      </c>
      <c r="J80" s="293">
        <v>0</v>
      </c>
      <c r="K80" s="293">
        <v>0</v>
      </c>
      <c r="L80" s="293">
        <v>0</v>
      </c>
      <c r="M80" s="293">
        <v>0</v>
      </c>
      <c r="N80" s="293"/>
    </row>
    <row r="81" spans="1:15" ht="59.25" hidden="1" customHeight="1" x14ac:dyDescent="0.2">
      <c r="A81" s="354"/>
      <c r="B81" s="285"/>
      <c r="C81" s="354"/>
      <c r="D81" s="355"/>
      <c r="E81" s="356"/>
      <c r="F81" s="305"/>
      <c r="G81" s="289"/>
      <c r="H81" s="290"/>
      <c r="I81" s="291"/>
      <c r="J81" s="293"/>
      <c r="K81" s="293"/>
      <c r="L81" s="327"/>
      <c r="M81" s="327"/>
      <c r="N81" s="327"/>
    </row>
    <row r="82" spans="1:15" ht="59.25" hidden="1" customHeight="1" x14ac:dyDescent="0.2">
      <c r="A82" s="354"/>
      <c r="B82" s="285"/>
      <c r="C82" s="354"/>
      <c r="D82" s="355"/>
      <c r="E82" s="287"/>
      <c r="F82" s="305"/>
      <c r="G82" s="289"/>
      <c r="H82" s="290"/>
      <c r="I82" s="291">
        <v>0</v>
      </c>
      <c r="J82" s="293">
        <v>0</v>
      </c>
      <c r="K82" s="293"/>
      <c r="L82" s="327"/>
      <c r="M82" s="327"/>
      <c r="N82" s="327"/>
    </row>
    <row r="83" spans="1:15" ht="61.5" hidden="1" customHeight="1" x14ac:dyDescent="0.2">
      <c r="A83" s="285" t="s">
        <v>540</v>
      </c>
      <c r="B83" s="285" t="s">
        <v>541</v>
      </c>
      <c r="C83" s="285" t="s">
        <v>116</v>
      </c>
      <c r="D83" s="320" t="s">
        <v>542</v>
      </c>
      <c r="E83" s="287"/>
      <c r="F83" s="306"/>
      <c r="G83" s="289"/>
      <c r="H83" s="289"/>
      <c r="I83" s="289">
        <f>I86+I88+I90+I92+I94+I96</f>
        <v>0</v>
      </c>
      <c r="J83" s="304">
        <v>9000000</v>
      </c>
      <c r="K83" s="293">
        <v>0</v>
      </c>
      <c r="L83" s="293">
        <v>0</v>
      </c>
      <c r="M83" s="293">
        <v>0</v>
      </c>
      <c r="N83" s="362"/>
    </row>
    <row r="84" spans="1:15" ht="61.5" hidden="1" customHeight="1" x14ac:dyDescent="0.2">
      <c r="A84" s="285"/>
      <c r="B84" s="285"/>
      <c r="C84" s="285"/>
      <c r="D84" s="355" t="s">
        <v>543</v>
      </c>
      <c r="E84" s="287"/>
      <c r="F84" s="306"/>
      <c r="G84" s="289"/>
      <c r="H84" s="289"/>
      <c r="I84" s="289">
        <f>I87+I89+I91+I93+I95+I97</f>
        <v>0</v>
      </c>
      <c r="J84" s="304"/>
      <c r="K84" s="293"/>
      <c r="L84" s="293"/>
      <c r="M84" s="293"/>
      <c r="N84" s="362">
        <f>I83-I84</f>
        <v>0</v>
      </c>
      <c r="O84" s="363">
        <f>682500-N84</f>
        <v>682500</v>
      </c>
    </row>
    <row r="85" spans="1:15" ht="23.25" hidden="1" customHeight="1" x14ac:dyDescent="0.2">
      <c r="A85" s="354"/>
      <c r="B85" s="285"/>
      <c r="C85" s="354"/>
      <c r="D85" s="320" t="s">
        <v>539</v>
      </c>
      <c r="E85" s="356"/>
      <c r="F85" s="288"/>
      <c r="G85" s="289"/>
      <c r="H85" s="289"/>
      <c r="I85" s="289"/>
      <c r="J85" s="304"/>
      <c r="K85" s="293"/>
      <c r="L85" s="293"/>
      <c r="M85" s="293"/>
      <c r="N85" s="362"/>
    </row>
    <row r="86" spans="1:15" ht="89.25" hidden="1" customHeight="1" x14ac:dyDescent="0.2">
      <c r="A86" s="354"/>
      <c r="B86" s="285"/>
      <c r="C86" s="354"/>
      <c r="D86" s="355"/>
      <c r="E86" s="364" t="s">
        <v>544</v>
      </c>
      <c r="F86" s="307">
        <v>2019</v>
      </c>
      <c r="G86" s="289"/>
      <c r="H86" s="289"/>
      <c r="I86" s="289"/>
      <c r="J86" s="304"/>
      <c r="K86" s="293"/>
      <c r="L86" s="293"/>
      <c r="M86" s="293"/>
      <c r="N86" s="362"/>
    </row>
    <row r="87" spans="1:15" ht="59.25" hidden="1" customHeight="1" x14ac:dyDescent="0.2">
      <c r="A87" s="354"/>
      <c r="B87" s="285"/>
      <c r="C87" s="354"/>
      <c r="D87" s="355" t="s">
        <v>543</v>
      </c>
      <c r="E87" s="356"/>
      <c r="F87" s="312"/>
      <c r="G87" s="289"/>
      <c r="H87" s="290"/>
      <c r="I87" s="291"/>
      <c r="J87" s="293"/>
      <c r="K87" s="293"/>
      <c r="L87" s="293"/>
      <c r="M87" s="293"/>
      <c r="N87" s="362"/>
    </row>
    <row r="88" spans="1:15" ht="87.75" hidden="1" customHeight="1" x14ac:dyDescent="0.2">
      <c r="A88" s="354"/>
      <c r="B88" s="285"/>
      <c r="C88" s="354"/>
      <c r="D88" s="355"/>
      <c r="E88" s="356" t="s">
        <v>545</v>
      </c>
      <c r="F88" s="307">
        <v>2019</v>
      </c>
      <c r="G88" s="289"/>
      <c r="H88" s="289"/>
      <c r="I88" s="289"/>
      <c r="J88" s="293"/>
      <c r="K88" s="293"/>
      <c r="L88" s="293"/>
      <c r="M88" s="293"/>
      <c r="N88" s="362"/>
    </row>
    <row r="89" spans="1:15" ht="59.25" hidden="1" customHeight="1" x14ac:dyDescent="0.2">
      <c r="A89" s="354"/>
      <c r="B89" s="285"/>
      <c r="C89" s="354"/>
      <c r="D89" s="355" t="s">
        <v>543</v>
      </c>
      <c r="E89" s="356"/>
      <c r="F89" s="312"/>
      <c r="G89" s="289"/>
      <c r="H89" s="290"/>
      <c r="I89" s="291"/>
      <c r="J89" s="293"/>
      <c r="K89" s="293"/>
      <c r="L89" s="293"/>
      <c r="M89" s="293"/>
      <c r="N89" s="362"/>
    </row>
    <row r="90" spans="1:15" ht="59.25" hidden="1" customHeight="1" x14ac:dyDescent="0.2">
      <c r="A90" s="354"/>
      <c r="B90" s="285"/>
      <c r="C90" s="354"/>
      <c r="D90" s="355"/>
      <c r="E90" s="356" t="s">
        <v>546</v>
      </c>
      <c r="F90" s="307">
        <v>2019</v>
      </c>
      <c r="G90" s="289"/>
      <c r="H90" s="289"/>
      <c r="I90" s="289"/>
      <c r="J90" s="293"/>
      <c r="K90" s="293"/>
      <c r="L90" s="293"/>
      <c r="M90" s="293"/>
      <c r="N90" s="362"/>
    </row>
    <row r="91" spans="1:15" ht="59.25" hidden="1" customHeight="1" x14ac:dyDescent="0.2">
      <c r="A91" s="354"/>
      <c r="B91" s="285"/>
      <c r="C91" s="354"/>
      <c r="D91" s="355" t="s">
        <v>543</v>
      </c>
      <c r="E91" s="356"/>
      <c r="F91" s="312"/>
      <c r="G91" s="289"/>
      <c r="H91" s="290"/>
      <c r="I91" s="291"/>
      <c r="J91" s="293"/>
      <c r="K91" s="293"/>
      <c r="L91" s="293"/>
      <c r="M91" s="293"/>
      <c r="N91" s="362"/>
    </row>
    <row r="92" spans="1:15" ht="81" hidden="1" x14ac:dyDescent="0.2">
      <c r="A92" s="354"/>
      <c r="B92" s="285"/>
      <c r="C92" s="354"/>
      <c r="D92" s="355"/>
      <c r="E92" s="356" t="s">
        <v>547</v>
      </c>
      <c r="F92" s="307">
        <v>2019</v>
      </c>
      <c r="G92" s="289"/>
      <c r="H92" s="289"/>
      <c r="I92" s="289"/>
      <c r="J92" s="293"/>
      <c r="K92" s="293"/>
      <c r="L92" s="293"/>
      <c r="M92" s="293"/>
      <c r="N92" s="362"/>
    </row>
    <row r="93" spans="1:15" ht="60.75" hidden="1" x14ac:dyDescent="0.2">
      <c r="A93" s="354"/>
      <c r="B93" s="285"/>
      <c r="C93" s="354"/>
      <c r="D93" s="355" t="s">
        <v>543</v>
      </c>
      <c r="E93" s="356"/>
      <c r="F93" s="303"/>
      <c r="G93" s="289"/>
      <c r="H93" s="290"/>
      <c r="I93" s="291"/>
      <c r="J93" s="293"/>
      <c r="K93" s="293"/>
      <c r="L93" s="293"/>
      <c r="M93" s="293"/>
      <c r="N93" s="362"/>
    </row>
    <row r="94" spans="1:15" ht="81" hidden="1" x14ac:dyDescent="0.2">
      <c r="A94" s="354"/>
      <c r="B94" s="285"/>
      <c r="C94" s="354"/>
      <c r="D94" s="355"/>
      <c r="E94" s="356" t="s">
        <v>548</v>
      </c>
      <c r="F94" s="307">
        <v>2019</v>
      </c>
      <c r="G94" s="289"/>
      <c r="H94" s="289"/>
      <c r="I94" s="289"/>
      <c r="J94" s="293"/>
      <c r="K94" s="293"/>
      <c r="L94" s="293"/>
      <c r="M94" s="293"/>
      <c r="N94" s="362"/>
    </row>
    <row r="95" spans="1:15" ht="60.75" hidden="1" x14ac:dyDescent="0.2">
      <c r="A95" s="354"/>
      <c r="B95" s="285"/>
      <c r="C95" s="354"/>
      <c r="D95" s="355" t="s">
        <v>543</v>
      </c>
      <c r="E95" s="356"/>
      <c r="F95" s="306"/>
      <c r="G95" s="289"/>
      <c r="H95" s="290"/>
      <c r="I95" s="291"/>
      <c r="J95" s="293"/>
      <c r="K95" s="293"/>
      <c r="L95" s="293"/>
      <c r="M95" s="293"/>
      <c r="N95" s="362"/>
    </row>
    <row r="96" spans="1:15" ht="132" hidden="1" customHeight="1" x14ac:dyDescent="0.2">
      <c r="A96" s="354"/>
      <c r="B96" s="285"/>
      <c r="C96" s="354"/>
      <c r="D96" s="355"/>
      <c r="E96" s="356" t="s">
        <v>549</v>
      </c>
      <c r="F96" s="307">
        <v>2019</v>
      </c>
      <c r="G96" s="289"/>
      <c r="H96" s="289"/>
      <c r="I96" s="289"/>
      <c r="J96" s="293"/>
      <c r="K96" s="293"/>
      <c r="L96" s="293"/>
      <c r="M96" s="293"/>
      <c r="N96" s="362"/>
    </row>
    <row r="97" spans="1:14" ht="59.25" hidden="1" customHeight="1" x14ac:dyDescent="0.2">
      <c r="A97" s="354"/>
      <c r="B97" s="285"/>
      <c r="C97" s="354"/>
      <c r="D97" s="355" t="s">
        <v>543</v>
      </c>
      <c r="E97" s="356"/>
      <c r="F97" s="288"/>
      <c r="G97" s="289"/>
      <c r="H97" s="289"/>
      <c r="I97" s="289"/>
      <c r="J97" s="293"/>
      <c r="K97" s="293"/>
      <c r="L97" s="293"/>
      <c r="M97" s="293"/>
      <c r="N97" s="362"/>
    </row>
    <row r="98" spans="1:14" ht="67.150000000000006" customHeight="1" x14ac:dyDescent="0.2">
      <c r="A98" s="285" t="s">
        <v>550</v>
      </c>
      <c r="B98" s="285" t="s">
        <v>551</v>
      </c>
      <c r="C98" s="285" t="s">
        <v>116</v>
      </c>
      <c r="D98" s="320" t="s">
        <v>552</v>
      </c>
      <c r="E98" s="287"/>
      <c r="F98" s="288"/>
      <c r="G98" s="289">
        <f>G100</f>
        <v>0</v>
      </c>
      <c r="H98" s="289"/>
      <c r="I98" s="289">
        <f>I100+I101</f>
        <v>1048631</v>
      </c>
      <c r="J98" s="304">
        <v>1000000</v>
      </c>
      <c r="K98" s="293">
        <v>0</v>
      </c>
      <c r="L98" s="293">
        <v>0</v>
      </c>
      <c r="M98" s="357">
        <v>0</v>
      </c>
      <c r="N98" s="362"/>
    </row>
    <row r="99" spans="1:14" ht="20.25" x14ac:dyDescent="0.2">
      <c r="A99" s="354"/>
      <c r="B99" s="285"/>
      <c r="C99" s="354"/>
      <c r="D99" s="320" t="s">
        <v>539</v>
      </c>
      <c r="E99" s="356"/>
      <c r="F99" s="288"/>
      <c r="G99" s="289"/>
      <c r="H99" s="290"/>
      <c r="I99" s="291"/>
      <c r="J99" s="304"/>
      <c r="K99" s="293"/>
      <c r="L99" s="293"/>
      <c r="M99" s="293"/>
      <c r="N99" s="362"/>
    </row>
    <row r="100" spans="1:14" ht="87.95" customHeight="1" thickBot="1" x14ac:dyDescent="0.25">
      <c r="A100" s="354"/>
      <c r="B100" s="285"/>
      <c r="C100" s="354"/>
      <c r="D100" s="355"/>
      <c r="E100" s="365" t="s">
        <v>734</v>
      </c>
      <c r="F100" s="306"/>
      <c r="G100" s="289"/>
      <c r="H100" s="290"/>
      <c r="I100" s="291">
        <f>2000000-539696-236673-175000</f>
        <v>1048631</v>
      </c>
      <c r="J100" s="304">
        <v>1000000</v>
      </c>
      <c r="K100" s="293"/>
      <c r="L100" s="293">
        <v>0</v>
      </c>
      <c r="M100" s="293"/>
      <c r="N100" s="362"/>
    </row>
    <row r="101" spans="1:14" ht="66.75" hidden="1" customHeight="1" x14ac:dyDescent="0.2">
      <c r="A101" s="354"/>
      <c r="B101" s="285"/>
      <c r="C101" s="354"/>
      <c r="D101" s="355"/>
      <c r="E101" s="296" t="s">
        <v>553</v>
      </c>
      <c r="F101" s="303">
        <v>2019</v>
      </c>
      <c r="G101" s="298">
        <v>5888556</v>
      </c>
      <c r="H101" s="299"/>
      <c r="I101" s="291"/>
      <c r="J101" s="292">
        <v>0</v>
      </c>
      <c r="K101" s="293"/>
      <c r="L101" s="293"/>
      <c r="M101" s="293"/>
      <c r="N101" s="362">
        <v>77.8</v>
      </c>
    </row>
    <row r="102" spans="1:14" ht="93" hidden="1" customHeight="1" x14ac:dyDescent="0.2">
      <c r="A102" s="366"/>
      <c r="B102" s="367"/>
      <c r="C102" s="367"/>
      <c r="D102" s="356" t="s">
        <v>554</v>
      </c>
      <c r="E102" s="202"/>
      <c r="F102" s="306"/>
      <c r="G102" s="289"/>
      <c r="H102" s="290"/>
      <c r="I102" s="291"/>
      <c r="J102" s="293"/>
      <c r="K102" s="293"/>
      <c r="L102" s="293"/>
      <c r="M102" s="293"/>
      <c r="N102" s="362"/>
    </row>
    <row r="103" spans="1:14" ht="20.25" hidden="1" x14ac:dyDescent="0.2">
      <c r="A103" s="354"/>
      <c r="B103" s="285"/>
      <c r="C103" s="354"/>
      <c r="D103" s="320"/>
      <c r="E103" s="356"/>
      <c r="F103" s="368"/>
      <c r="G103" s="289"/>
      <c r="H103" s="290"/>
      <c r="I103" s="291"/>
      <c r="J103" s="293"/>
      <c r="K103" s="293"/>
      <c r="L103" s="293"/>
      <c r="M103" s="293"/>
      <c r="N103" s="362"/>
    </row>
    <row r="104" spans="1:14" ht="150.75" hidden="1" customHeight="1" x14ac:dyDescent="0.2">
      <c r="A104" s="354"/>
      <c r="B104" s="285"/>
      <c r="C104" s="354"/>
      <c r="D104" s="356"/>
      <c r="E104" s="356"/>
      <c r="F104" s="368"/>
      <c r="G104" s="289"/>
      <c r="H104" s="290"/>
      <c r="I104" s="291"/>
      <c r="J104" s="293"/>
      <c r="K104" s="293"/>
      <c r="L104" s="293"/>
      <c r="M104" s="293"/>
      <c r="N104" s="362"/>
    </row>
    <row r="105" spans="1:14" ht="21" hidden="1" thickBot="1" x14ac:dyDescent="0.25">
      <c r="A105" s="369"/>
      <c r="B105" s="369"/>
      <c r="C105" s="369"/>
      <c r="D105" s="370"/>
      <c r="E105" s="370"/>
      <c r="F105" s="334"/>
      <c r="G105" s="298"/>
      <c r="H105" s="299"/>
      <c r="I105" s="371"/>
      <c r="J105" s="302"/>
      <c r="K105" s="302"/>
      <c r="L105" s="302"/>
      <c r="M105" s="302"/>
      <c r="N105" s="372"/>
    </row>
    <row r="106" spans="1:14" ht="20.25" hidden="1" x14ac:dyDescent="0.2">
      <c r="A106" s="373" t="s">
        <v>141</v>
      </c>
      <c r="B106" s="374"/>
      <c r="C106" s="374"/>
      <c r="D106" s="375" t="s">
        <v>555</v>
      </c>
      <c r="E106" s="376"/>
      <c r="F106" s="377"/>
      <c r="G106" s="378"/>
      <c r="H106" s="379"/>
      <c r="I106" s="380">
        <f>I107</f>
        <v>0</v>
      </c>
      <c r="J106" s="381"/>
      <c r="K106" s="381"/>
      <c r="L106" s="381"/>
      <c r="M106" s="381"/>
      <c r="N106" s="382"/>
    </row>
    <row r="107" spans="1:14" ht="21" hidden="1" thickBot="1" x14ac:dyDescent="0.25">
      <c r="A107" s="383" t="s">
        <v>436</v>
      </c>
      <c r="B107" s="384"/>
      <c r="C107" s="384"/>
      <c r="D107" s="385" t="s">
        <v>555</v>
      </c>
      <c r="E107" s="386"/>
      <c r="F107" s="387"/>
      <c r="G107" s="388"/>
      <c r="H107" s="389"/>
      <c r="I107" s="390">
        <f>I109+I113</f>
        <v>0</v>
      </c>
      <c r="J107" s="391"/>
      <c r="K107" s="391"/>
      <c r="L107" s="391"/>
      <c r="M107" s="391"/>
      <c r="N107" s="392"/>
    </row>
    <row r="108" spans="1:14" ht="20.25" hidden="1" x14ac:dyDescent="0.2">
      <c r="A108" s="348"/>
      <c r="B108" s="349"/>
      <c r="C108" s="348"/>
      <c r="D108" s="350"/>
      <c r="E108" s="350"/>
      <c r="F108" s="393"/>
      <c r="G108" s="352"/>
      <c r="H108" s="353"/>
      <c r="I108" s="282"/>
      <c r="J108" s="284"/>
      <c r="K108" s="284"/>
      <c r="L108" s="284"/>
      <c r="M108" s="284"/>
      <c r="N108" s="394"/>
    </row>
    <row r="109" spans="1:14" ht="41.25" hidden="1" customHeight="1" x14ac:dyDescent="0.2">
      <c r="A109" s="366" t="s">
        <v>556</v>
      </c>
      <c r="B109" s="367" t="s">
        <v>557</v>
      </c>
      <c r="C109" s="367" t="s">
        <v>172</v>
      </c>
      <c r="D109" s="395" t="s">
        <v>558</v>
      </c>
      <c r="E109" s="202"/>
      <c r="F109" s="306"/>
      <c r="G109" s="289"/>
      <c r="H109" s="290"/>
      <c r="I109" s="291">
        <f>I111+I112</f>
        <v>0</v>
      </c>
      <c r="J109" s="293">
        <v>0</v>
      </c>
      <c r="K109" s="293"/>
      <c r="L109" s="293">
        <v>0</v>
      </c>
      <c r="M109" s="293">
        <v>0</v>
      </c>
      <c r="N109" s="362"/>
    </row>
    <row r="110" spans="1:14" ht="30.75" hidden="1" customHeight="1" x14ac:dyDescent="0.2">
      <c r="A110" s="354"/>
      <c r="B110" s="285"/>
      <c r="C110" s="354"/>
      <c r="D110" s="320" t="s">
        <v>539</v>
      </c>
      <c r="E110" s="356"/>
      <c r="F110" s="368"/>
      <c r="G110" s="289"/>
      <c r="H110" s="290"/>
      <c r="I110" s="291"/>
      <c r="J110" s="293"/>
      <c r="K110" s="293"/>
      <c r="L110" s="293"/>
      <c r="M110" s="293"/>
      <c r="N110" s="362"/>
    </row>
    <row r="111" spans="1:14" ht="156.75" hidden="1" customHeight="1" x14ac:dyDescent="0.2">
      <c r="A111" s="354"/>
      <c r="B111" s="285"/>
      <c r="C111" s="354"/>
      <c r="D111" s="356"/>
      <c r="E111" s="356" t="s">
        <v>559</v>
      </c>
      <c r="F111" s="303" t="s">
        <v>560</v>
      </c>
      <c r="G111" s="289"/>
      <c r="H111" s="290"/>
      <c r="I111" s="291"/>
      <c r="J111" s="293"/>
      <c r="K111" s="293"/>
      <c r="L111" s="293"/>
      <c r="M111" s="293"/>
      <c r="N111" s="362"/>
    </row>
    <row r="112" spans="1:14" ht="175.5" hidden="1" customHeight="1" x14ac:dyDescent="0.2">
      <c r="A112" s="354"/>
      <c r="B112" s="285"/>
      <c r="C112" s="354"/>
      <c r="D112" s="356"/>
      <c r="E112" s="356" t="s">
        <v>561</v>
      </c>
      <c r="F112" s="303">
        <v>2019</v>
      </c>
      <c r="G112" s="289"/>
      <c r="H112" s="290"/>
      <c r="I112" s="291"/>
      <c r="J112" s="293"/>
      <c r="K112" s="293"/>
      <c r="L112" s="293"/>
      <c r="M112" s="293"/>
      <c r="N112" s="362"/>
    </row>
    <row r="113" spans="1:14" ht="60.75" hidden="1" x14ac:dyDescent="0.2">
      <c r="A113" s="354" t="s">
        <v>562</v>
      </c>
      <c r="B113" s="354" t="s">
        <v>551</v>
      </c>
      <c r="C113" s="354" t="s">
        <v>116</v>
      </c>
      <c r="D113" s="356" t="s">
        <v>563</v>
      </c>
      <c r="E113" s="356"/>
      <c r="F113" s="396"/>
      <c r="G113" s="289"/>
      <c r="H113" s="290"/>
      <c r="I113" s="291">
        <f>I115</f>
        <v>0</v>
      </c>
      <c r="J113" s="293">
        <v>0</v>
      </c>
      <c r="K113" s="293"/>
      <c r="L113" s="293">
        <v>0</v>
      </c>
      <c r="M113" s="293">
        <v>0</v>
      </c>
      <c r="N113" s="362"/>
    </row>
    <row r="114" spans="1:14" ht="20.25" hidden="1" x14ac:dyDescent="0.2">
      <c r="A114" s="354"/>
      <c r="B114" s="285"/>
      <c r="C114" s="354"/>
      <c r="D114" s="320" t="s">
        <v>539</v>
      </c>
      <c r="E114" s="356"/>
      <c r="F114" s="303"/>
      <c r="G114" s="289"/>
      <c r="H114" s="290"/>
      <c r="I114" s="291"/>
      <c r="J114" s="293"/>
      <c r="K114" s="293"/>
      <c r="L114" s="293"/>
      <c r="M114" s="293"/>
      <c r="N114" s="362"/>
    </row>
    <row r="115" spans="1:14" ht="130.5" hidden="1" customHeight="1" x14ac:dyDescent="0.2">
      <c r="A115" s="354"/>
      <c r="B115" s="285"/>
      <c r="C115" s="354"/>
      <c r="D115" s="356"/>
      <c r="E115" s="356" t="s">
        <v>564</v>
      </c>
      <c r="F115" s="303">
        <v>2019</v>
      </c>
      <c r="G115" s="397"/>
      <c r="H115" s="398"/>
      <c r="I115" s="291"/>
      <c r="J115" s="293"/>
      <c r="K115" s="293"/>
      <c r="L115" s="293"/>
      <c r="M115" s="293"/>
      <c r="N115" s="362"/>
    </row>
    <row r="116" spans="1:14" ht="101.25" hidden="1" x14ac:dyDescent="0.2">
      <c r="A116" s="354"/>
      <c r="B116" s="285"/>
      <c r="C116" s="354"/>
      <c r="D116" s="356" t="s">
        <v>565</v>
      </c>
      <c r="E116" s="356"/>
      <c r="F116" s="306"/>
      <c r="G116" s="289"/>
      <c r="H116" s="290"/>
      <c r="I116" s="291"/>
      <c r="J116" s="293"/>
      <c r="K116" s="293"/>
      <c r="L116" s="293"/>
      <c r="M116" s="293"/>
      <c r="N116" s="362"/>
    </row>
    <row r="117" spans="1:14" ht="20.25" hidden="1" x14ac:dyDescent="0.2">
      <c r="A117" s="354"/>
      <c r="B117" s="285"/>
      <c r="C117" s="354"/>
      <c r="D117" s="355"/>
      <c r="E117" s="356"/>
      <c r="F117" s="288"/>
      <c r="G117" s="291"/>
      <c r="H117" s="291"/>
      <c r="I117" s="291">
        <v>0</v>
      </c>
      <c r="J117" s="293">
        <v>0</v>
      </c>
      <c r="K117" s="293">
        <v>0</v>
      </c>
      <c r="L117" s="293">
        <v>0</v>
      </c>
      <c r="M117" s="293"/>
      <c r="N117" s="362"/>
    </row>
    <row r="118" spans="1:14" ht="59.25" hidden="1" customHeight="1" x14ac:dyDescent="0.2">
      <c r="A118" s="354"/>
      <c r="B118" s="285"/>
      <c r="C118" s="354"/>
      <c r="D118" s="355"/>
      <c r="E118" s="356"/>
      <c r="F118" s="288"/>
      <c r="G118" s="291"/>
      <c r="H118" s="291"/>
      <c r="I118" s="291">
        <v>0</v>
      </c>
      <c r="J118" s="293">
        <v>0</v>
      </c>
      <c r="K118" s="293">
        <v>0</v>
      </c>
      <c r="L118" s="293">
        <v>0</v>
      </c>
      <c r="M118" s="293"/>
      <c r="N118" s="362"/>
    </row>
    <row r="119" spans="1:14" ht="59.25" hidden="1" customHeight="1" x14ac:dyDescent="0.2">
      <c r="A119" s="354"/>
      <c r="B119" s="285"/>
      <c r="C119" s="354"/>
      <c r="D119" s="355"/>
      <c r="E119" s="356"/>
      <c r="F119" s="288"/>
      <c r="G119" s="289"/>
      <c r="H119" s="290"/>
      <c r="I119" s="291">
        <v>0</v>
      </c>
      <c r="J119" s="293"/>
      <c r="K119" s="293"/>
      <c r="L119" s="293">
        <v>0</v>
      </c>
      <c r="M119" s="293"/>
      <c r="N119" s="362"/>
    </row>
    <row r="120" spans="1:14" ht="59.25" hidden="1" customHeight="1" x14ac:dyDescent="0.2">
      <c r="A120" s="354"/>
      <c r="B120" s="285"/>
      <c r="C120" s="354"/>
      <c r="D120" s="355"/>
      <c r="E120" s="356"/>
      <c r="F120" s="288"/>
      <c r="G120" s="289"/>
      <c r="H120" s="290"/>
      <c r="I120" s="291">
        <v>0</v>
      </c>
      <c r="J120" s="293"/>
      <c r="K120" s="293"/>
      <c r="L120" s="293">
        <v>0</v>
      </c>
      <c r="M120" s="293"/>
      <c r="N120" s="362"/>
    </row>
    <row r="121" spans="1:14" ht="20.25" hidden="1" x14ac:dyDescent="0.2">
      <c r="A121" s="399" t="s">
        <v>161</v>
      </c>
      <c r="B121" s="399"/>
      <c r="C121" s="399"/>
      <c r="D121" s="400" t="s">
        <v>566</v>
      </c>
      <c r="E121" s="356"/>
      <c r="F121" s="288"/>
      <c r="G121" s="289"/>
      <c r="H121" s="290"/>
      <c r="I121" s="401">
        <f>I122</f>
        <v>0</v>
      </c>
      <c r="J121" s="293">
        <v>0</v>
      </c>
      <c r="K121" s="293">
        <v>0</v>
      </c>
      <c r="L121" s="293">
        <v>0</v>
      </c>
      <c r="M121" s="293"/>
      <c r="N121" s="362"/>
    </row>
    <row r="122" spans="1:14" ht="20.25" hidden="1" x14ac:dyDescent="0.2">
      <c r="A122" s="399" t="s">
        <v>460</v>
      </c>
      <c r="B122" s="399"/>
      <c r="C122" s="399"/>
      <c r="D122" s="400" t="s">
        <v>566</v>
      </c>
      <c r="E122" s="356"/>
      <c r="F122" s="288"/>
      <c r="G122" s="289"/>
      <c r="H122" s="290"/>
      <c r="I122" s="401">
        <f>I123</f>
        <v>0</v>
      </c>
      <c r="J122" s="293">
        <v>0</v>
      </c>
      <c r="K122" s="293">
        <v>0</v>
      </c>
      <c r="L122" s="293">
        <v>0</v>
      </c>
      <c r="M122" s="293"/>
      <c r="N122" s="362"/>
    </row>
    <row r="123" spans="1:14" ht="59.25" hidden="1" customHeight="1" x14ac:dyDescent="0.2">
      <c r="A123" s="354" t="s">
        <v>567</v>
      </c>
      <c r="B123" s="285" t="s">
        <v>568</v>
      </c>
      <c r="C123" s="354" t="s">
        <v>172</v>
      </c>
      <c r="D123" s="355" t="s">
        <v>569</v>
      </c>
      <c r="E123" s="356"/>
      <c r="F123" s="288"/>
      <c r="G123" s="289"/>
      <c r="H123" s="290"/>
      <c r="I123" s="291">
        <f>I125</f>
        <v>0</v>
      </c>
      <c r="J123" s="293">
        <v>0</v>
      </c>
      <c r="K123" s="293"/>
      <c r="L123" s="293">
        <v>0</v>
      </c>
      <c r="M123" s="293"/>
      <c r="N123" s="362"/>
    </row>
    <row r="124" spans="1:14" ht="20.25" hidden="1" x14ac:dyDescent="0.2">
      <c r="A124" s="354"/>
      <c r="B124" s="285"/>
      <c r="C124" s="354"/>
      <c r="D124" s="320" t="s">
        <v>539</v>
      </c>
      <c r="E124" s="356"/>
      <c r="F124" s="288"/>
      <c r="G124" s="289"/>
      <c r="H124" s="290"/>
      <c r="I124" s="291">
        <v>0</v>
      </c>
      <c r="J124" s="293">
        <v>0</v>
      </c>
      <c r="K124" s="293">
        <v>0</v>
      </c>
      <c r="L124" s="293">
        <v>0</v>
      </c>
      <c r="M124" s="293"/>
      <c r="N124" s="362"/>
    </row>
    <row r="125" spans="1:14" ht="101.25" hidden="1" x14ac:dyDescent="0.2">
      <c r="A125" s="354"/>
      <c r="B125" s="285"/>
      <c r="C125" s="354"/>
      <c r="D125" s="355"/>
      <c r="E125" s="356" t="s">
        <v>570</v>
      </c>
      <c r="F125" s="368" t="s">
        <v>560</v>
      </c>
      <c r="G125" s="289">
        <v>1625603</v>
      </c>
      <c r="H125" s="290"/>
      <c r="I125" s="291"/>
      <c r="J125" s="293">
        <v>0</v>
      </c>
      <c r="K125" s="293">
        <v>0</v>
      </c>
      <c r="L125" s="293">
        <v>0</v>
      </c>
      <c r="M125" s="293"/>
      <c r="N125" s="362">
        <v>100</v>
      </c>
    </row>
    <row r="126" spans="1:14" ht="59.25" hidden="1" customHeight="1" x14ac:dyDescent="0.2">
      <c r="A126" s="354"/>
      <c r="B126" s="285"/>
      <c r="C126" s="354"/>
      <c r="D126" s="355"/>
      <c r="E126" s="356"/>
      <c r="F126" s="288"/>
      <c r="G126" s="402"/>
      <c r="H126" s="403"/>
      <c r="I126" s="404">
        <v>0</v>
      </c>
      <c r="J126" s="288">
        <v>0</v>
      </c>
      <c r="K126" s="288">
        <v>0</v>
      </c>
      <c r="L126" s="288">
        <v>0</v>
      </c>
      <c r="M126" s="288"/>
      <c r="N126" s="405"/>
    </row>
    <row r="127" spans="1:14" ht="59.25" hidden="1" customHeight="1" x14ac:dyDescent="0.2">
      <c r="A127" s="354"/>
      <c r="B127" s="285"/>
      <c r="C127" s="354"/>
      <c r="D127" s="355"/>
      <c r="E127" s="356"/>
      <c r="F127" s="288"/>
      <c r="G127" s="402"/>
      <c r="H127" s="403"/>
      <c r="I127" s="404">
        <v>0</v>
      </c>
      <c r="J127" s="288">
        <v>0</v>
      </c>
      <c r="K127" s="288">
        <v>0</v>
      </c>
      <c r="L127" s="288">
        <v>0</v>
      </c>
      <c r="M127" s="288"/>
      <c r="N127" s="405"/>
    </row>
    <row r="128" spans="1:14" ht="59.25" hidden="1" customHeight="1" x14ac:dyDescent="0.2">
      <c r="A128" s="354"/>
      <c r="B128" s="285"/>
      <c r="C128" s="354"/>
      <c r="D128" s="355"/>
      <c r="E128" s="356"/>
      <c r="F128" s="288"/>
      <c r="G128" s="402"/>
      <c r="H128" s="403"/>
      <c r="I128" s="404">
        <v>0</v>
      </c>
      <c r="J128" s="288"/>
      <c r="K128" s="288"/>
      <c r="L128" s="288">
        <v>0</v>
      </c>
      <c r="M128" s="288"/>
      <c r="N128" s="405"/>
    </row>
    <row r="129" spans="1:14" ht="59.25" hidden="1" customHeight="1" x14ac:dyDescent="0.2">
      <c r="A129" s="354"/>
      <c r="B129" s="285"/>
      <c r="C129" s="354"/>
      <c r="D129" s="355"/>
      <c r="E129" s="356"/>
      <c r="F129" s="288"/>
      <c r="G129" s="402"/>
      <c r="H129" s="403"/>
      <c r="I129" s="404">
        <v>0</v>
      </c>
      <c r="J129" s="288">
        <v>0</v>
      </c>
      <c r="K129" s="288">
        <v>0</v>
      </c>
      <c r="L129" s="288">
        <v>0</v>
      </c>
      <c r="M129" s="288"/>
      <c r="N129" s="405"/>
    </row>
    <row r="130" spans="1:14" ht="59.25" hidden="1" customHeight="1" x14ac:dyDescent="0.2">
      <c r="A130" s="354"/>
      <c r="B130" s="285"/>
      <c r="C130" s="354"/>
      <c r="D130" s="355"/>
      <c r="E130" s="356"/>
      <c r="F130" s="288"/>
      <c r="G130" s="402"/>
      <c r="H130" s="403"/>
      <c r="I130" s="404">
        <v>0</v>
      </c>
      <c r="J130" s="288">
        <v>0</v>
      </c>
      <c r="K130" s="288">
        <v>0</v>
      </c>
      <c r="L130" s="288">
        <v>0</v>
      </c>
      <c r="M130" s="288"/>
      <c r="N130" s="405"/>
    </row>
    <row r="131" spans="1:14" ht="59.25" hidden="1" customHeight="1" x14ac:dyDescent="0.2">
      <c r="A131" s="354"/>
      <c r="B131" s="285"/>
      <c r="C131" s="354"/>
      <c r="D131" s="355"/>
      <c r="E131" s="356"/>
      <c r="F131" s="288"/>
      <c r="G131" s="402"/>
      <c r="H131" s="403"/>
      <c r="I131" s="404">
        <v>0</v>
      </c>
      <c r="J131" s="288">
        <v>0</v>
      </c>
      <c r="K131" s="288">
        <v>0</v>
      </c>
      <c r="L131" s="288">
        <v>0</v>
      </c>
      <c r="M131" s="288"/>
      <c r="N131" s="405"/>
    </row>
    <row r="132" spans="1:14" ht="59.25" hidden="1" customHeight="1" x14ac:dyDescent="0.2">
      <c r="A132" s="354"/>
      <c r="B132" s="285"/>
      <c r="C132" s="354"/>
      <c r="D132" s="355"/>
      <c r="E132" s="356"/>
      <c r="F132" s="288"/>
      <c r="G132" s="402"/>
      <c r="H132" s="403"/>
      <c r="I132" s="404">
        <v>0</v>
      </c>
      <c r="J132" s="288">
        <v>0</v>
      </c>
      <c r="K132" s="288">
        <v>0</v>
      </c>
      <c r="L132" s="288">
        <v>0</v>
      </c>
      <c r="M132" s="288"/>
      <c r="N132" s="405"/>
    </row>
    <row r="133" spans="1:14" ht="59.25" hidden="1" customHeight="1" x14ac:dyDescent="0.2">
      <c r="A133" s="354"/>
      <c r="B133" s="285"/>
      <c r="C133" s="354"/>
      <c r="D133" s="355"/>
      <c r="E133" s="356"/>
      <c r="F133" s="288"/>
      <c r="G133" s="402"/>
      <c r="H133" s="403"/>
      <c r="I133" s="404">
        <v>0</v>
      </c>
      <c r="J133" s="288">
        <v>0</v>
      </c>
      <c r="K133" s="288">
        <v>0</v>
      </c>
      <c r="L133" s="288">
        <v>0</v>
      </c>
      <c r="M133" s="288"/>
      <c r="N133" s="405"/>
    </row>
    <row r="134" spans="1:14" ht="59.25" hidden="1" customHeight="1" x14ac:dyDescent="0.2">
      <c r="A134" s="354"/>
      <c r="B134" s="285"/>
      <c r="C134" s="354"/>
      <c r="D134" s="355"/>
      <c r="E134" s="356"/>
      <c r="F134" s="288"/>
      <c r="G134" s="402"/>
      <c r="H134" s="403"/>
      <c r="I134" s="404">
        <v>0</v>
      </c>
      <c r="J134" s="288">
        <v>0</v>
      </c>
      <c r="K134" s="288">
        <v>0</v>
      </c>
      <c r="L134" s="288">
        <v>0</v>
      </c>
      <c r="M134" s="288"/>
      <c r="N134" s="405"/>
    </row>
    <row r="135" spans="1:14" ht="59.25" hidden="1" customHeight="1" x14ac:dyDescent="0.2">
      <c r="A135" s="354"/>
      <c r="B135" s="285"/>
      <c r="C135" s="354"/>
      <c r="D135" s="355"/>
      <c r="E135" s="356"/>
      <c r="F135" s="288"/>
      <c r="G135" s="402"/>
      <c r="H135" s="403"/>
      <c r="I135" s="404">
        <v>0</v>
      </c>
      <c r="J135" s="288">
        <v>0</v>
      </c>
      <c r="K135" s="288">
        <v>0</v>
      </c>
      <c r="L135" s="288">
        <v>0</v>
      </c>
      <c r="M135" s="288"/>
      <c r="N135" s="405"/>
    </row>
    <row r="136" spans="1:14" ht="59.25" hidden="1" customHeight="1" x14ac:dyDescent="0.2">
      <c r="A136" s="354"/>
      <c r="B136" s="285"/>
      <c r="C136" s="354"/>
      <c r="D136" s="355"/>
      <c r="E136" s="356"/>
      <c r="F136" s="288"/>
      <c r="G136" s="402"/>
      <c r="H136" s="403"/>
      <c r="I136" s="404">
        <v>0</v>
      </c>
      <c r="J136" s="288">
        <v>0</v>
      </c>
      <c r="K136" s="288">
        <v>0</v>
      </c>
      <c r="L136" s="288">
        <v>0</v>
      </c>
      <c r="M136" s="288"/>
      <c r="N136" s="405"/>
    </row>
    <row r="137" spans="1:14" ht="59.25" hidden="1" customHeight="1" x14ac:dyDescent="0.2">
      <c r="A137" s="354"/>
      <c r="B137" s="285"/>
      <c r="C137" s="354"/>
      <c r="D137" s="355"/>
      <c r="E137" s="356"/>
      <c r="F137" s="288"/>
      <c r="G137" s="402"/>
      <c r="H137" s="403"/>
      <c r="I137" s="404">
        <v>0</v>
      </c>
      <c r="J137" s="288">
        <v>0</v>
      </c>
      <c r="K137" s="288"/>
      <c r="L137" s="288">
        <v>0</v>
      </c>
      <c r="M137" s="288"/>
      <c r="N137" s="405"/>
    </row>
    <row r="138" spans="1:14" s="358" customFormat="1" ht="59.25" hidden="1" customHeight="1" x14ac:dyDescent="0.2">
      <c r="A138" s="359"/>
      <c r="B138" s="285"/>
      <c r="C138" s="359"/>
      <c r="D138" s="360"/>
      <c r="E138" s="361"/>
      <c r="F138" s="347"/>
      <c r="G138" s="406">
        <v>0</v>
      </c>
      <c r="H138" s="406"/>
      <c r="I138" s="406">
        <v>0</v>
      </c>
      <c r="J138" s="407">
        <v>0</v>
      </c>
      <c r="K138" s="407">
        <v>0</v>
      </c>
      <c r="L138" s="407">
        <v>0</v>
      </c>
      <c r="M138" s="407">
        <v>0</v>
      </c>
      <c r="N138" s="408"/>
    </row>
    <row r="139" spans="1:14" s="358" customFormat="1" ht="59.25" hidden="1" customHeight="1" x14ac:dyDescent="0.2">
      <c r="A139" s="359"/>
      <c r="B139" s="285"/>
      <c r="C139" s="359"/>
      <c r="D139" s="320"/>
      <c r="E139" s="361"/>
      <c r="F139" s="409"/>
      <c r="G139" s="406"/>
      <c r="H139" s="410"/>
      <c r="I139" s="410"/>
      <c r="J139" s="407"/>
      <c r="K139" s="407"/>
      <c r="L139" s="411"/>
      <c r="M139" s="411"/>
      <c r="N139" s="412"/>
    </row>
    <row r="140" spans="1:14" ht="59.25" hidden="1" customHeight="1" x14ac:dyDescent="0.2">
      <c r="A140" s="354"/>
      <c r="B140" s="285"/>
      <c r="C140" s="354"/>
      <c r="D140" s="355"/>
      <c r="E140" s="356"/>
      <c r="F140" s="312"/>
      <c r="G140" s="402"/>
      <c r="H140" s="403"/>
      <c r="I140" s="404">
        <v>0</v>
      </c>
      <c r="J140" s="288">
        <v>0</v>
      </c>
      <c r="K140" s="288">
        <v>0</v>
      </c>
      <c r="L140" s="413"/>
      <c r="M140" s="413"/>
      <c r="N140" s="414"/>
    </row>
    <row r="141" spans="1:14" ht="59.25" hidden="1" customHeight="1" x14ac:dyDescent="0.2">
      <c r="A141" s="354"/>
      <c r="B141" s="285"/>
      <c r="C141" s="354"/>
      <c r="D141" s="355"/>
      <c r="E141" s="356"/>
      <c r="F141" s="305"/>
      <c r="G141" s="402"/>
      <c r="H141" s="403"/>
      <c r="I141" s="404">
        <v>0</v>
      </c>
      <c r="J141" s="288">
        <v>0</v>
      </c>
      <c r="K141" s="288">
        <v>0</v>
      </c>
      <c r="L141" s="413"/>
      <c r="M141" s="413"/>
      <c r="N141" s="414"/>
    </row>
    <row r="142" spans="1:14" ht="59.25" hidden="1" customHeight="1" x14ac:dyDescent="0.2">
      <c r="A142" s="354"/>
      <c r="B142" s="285"/>
      <c r="C142" s="354"/>
      <c r="D142" s="355"/>
      <c r="E142" s="356"/>
      <c r="F142" s="305"/>
      <c r="G142" s="402"/>
      <c r="H142" s="403"/>
      <c r="I142" s="404">
        <v>0</v>
      </c>
      <c r="J142" s="288">
        <v>0</v>
      </c>
      <c r="K142" s="288">
        <v>0</v>
      </c>
      <c r="L142" s="413"/>
      <c r="M142" s="413"/>
      <c r="N142" s="414"/>
    </row>
    <row r="143" spans="1:14" ht="59.25" hidden="1" customHeight="1" x14ac:dyDescent="0.2">
      <c r="A143" s="354"/>
      <c r="B143" s="285"/>
      <c r="C143" s="354"/>
      <c r="D143" s="355"/>
      <c r="E143" s="356"/>
      <c r="F143" s="305"/>
      <c r="G143" s="402"/>
      <c r="H143" s="403"/>
      <c r="I143" s="404">
        <v>0</v>
      </c>
      <c r="J143" s="288">
        <v>0</v>
      </c>
      <c r="K143" s="288">
        <v>0</v>
      </c>
      <c r="L143" s="413"/>
      <c r="M143" s="413"/>
      <c r="N143" s="414"/>
    </row>
    <row r="144" spans="1:14" ht="59.25" hidden="1" customHeight="1" x14ac:dyDescent="0.2">
      <c r="A144" s="354"/>
      <c r="B144" s="285"/>
      <c r="C144" s="354"/>
      <c r="D144" s="355"/>
      <c r="E144" s="356"/>
      <c r="F144" s="305"/>
      <c r="G144" s="402"/>
      <c r="H144" s="403"/>
      <c r="I144" s="404">
        <v>0</v>
      </c>
      <c r="J144" s="288">
        <v>0</v>
      </c>
      <c r="K144" s="288">
        <v>0</v>
      </c>
      <c r="L144" s="413"/>
      <c r="M144" s="413"/>
      <c r="N144" s="414"/>
    </row>
    <row r="145" spans="1:14" ht="59.25" hidden="1" customHeight="1" x14ac:dyDescent="0.2">
      <c r="A145" s="354"/>
      <c r="B145" s="285"/>
      <c r="C145" s="354"/>
      <c r="D145" s="355"/>
      <c r="E145" s="356"/>
      <c r="F145" s="305"/>
      <c r="G145" s="402"/>
      <c r="H145" s="403"/>
      <c r="I145" s="404">
        <v>0</v>
      </c>
      <c r="J145" s="288">
        <v>0</v>
      </c>
      <c r="K145" s="288">
        <v>0</v>
      </c>
      <c r="L145" s="413"/>
      <c r="M145" s="413"/>
      <c r="N145" s="414"/>
    </row>
    <row r="146" spans="1:14" ht="59.25" hidden="1" customHeight="1" x14ac:dyDescent="0.2">
      <c r="A146" s="354"/>
      <c r="B146" s="285"/>
      <c r="C146" s="354"/>
      <c r="D146" s="355"/>
      <c r="E146" s="356"/>
      <c r="F146" s="305"/>
      <c r="G146" s="402"/>
      <c r="H146" s="403"/>
      <c r="I146" s="404">
        <v>0</v>
      </c>
      <c r="J146" s="288">
        <v>0</v>
      </c>
      <c r="K146" s="288">
        <v>0</v>
      </c>
      <c r="L146" s="413"/>
      <c r="M146" s="413"/>
      <c r="N146" s="414"/>
    </row>
    <row r="147" spans="1:14" ht="59.25" hidden="1" customHeight="1" x14ac:dyDescent="0.2">
      <c r="A147" s="354"/>
      <c r="B147" s="285"/>
      <c r="C147" s="354"/>
      <c r="D147" s="355"/>
      <c r="E147" s="356"/>
      <c r="F147" s="305"/>
      <c r="G147" s="402"/>
      <c r="H147" s="403"/>
      <c r="I147" s="404">
        <v>0</v>
      </c>
      <c r="J147" s="288">
        <v>0</v>
      </c>
      <c r="K147" s="288">
        <v>0</v>
      </c>
      <c r="L147" s="413"/>
      <c r="M147" s="413"/>
      <c r="N147" s="414"/>
    </row>
    <row r="148" spans="1:14" ht="59.25" hidden="1" customHeight="1" x14ac:dyDescent="0.2">
      <c r="A148" s="354"/>
      <c r="B148" s="285"/>
      <c r="C148" s="354"/>
      <c r="D148" s="355"/>
      <c r="E148" s="356"/>
      <c r="F148" s="305"/>
      <c r="G148" s="402"/>
      <c r="H148" s="403"/>
      <c r="I148" s="404">
        <v>0</v>
      </c>
      <c r="J148" s="288">
        <v>0</v>
      </c>
      <c r="K148" s="288">
        <v>0</v>
      </c>
      <c r="L148" s="413"/>
      <c r="M148" s="413"/>
      <c r="N148" s="414"/>
    </row>
    <row r="149" spans="1:14" ht="59.25" hidden="1" customHeight="1" x14ac:dyDescent="0.2">
      <c r="A149" s="354"/>
      <c r="B149" s="285"/>
      <c r="C149" s="354"/>
      <c r="D149" s="355"/>
      <c r="E149" s="356"/>
      <c r="F149" s="305"/>
      <c r="G149" s="402"/>
      <c r="H149" s="403"/>
      <c r="I149" s="404">
        <v>0</v>
      </c>
      <c r="J149" s="288">
        <v>0</v>
      </c>
      <c r="K149" s="288">
        <v>0</v>
      </c>
      <c r="L149" s="413"/>
      <c r="M149" s="413"/>
      <c r="N149" s="414"/>
    </row>
    <row r="150" spans="1:14" ht="59.25" hidden="1" customHeight="1" x14ac:dyDescent="0.2">
      <c r="A150" s="354"/>
      <c r="B150" s="285"/>
      <c r="C150" s="354"/>
      <c r="D150" s="355"/>
      <c r="E150" s="356"/>
      <c r="F150" s="312"/>
      <c r="G150" s="402"/>
      <c r="H150" s="403"/>
      <c r="I150" s="404">
        <v>0</v>
      </c>
      <c r="J150" s="288">
        <v>0</v>
      </c>
      <c r="K150" s="288">
        <v>0</v>
      </c>
      <c r="L150" s="413"/>
      <c r="M150" s="413"/>
      <c r="N150" s="414"/>
    </row>
    <row r="151" spans="1:14" ht="59.25" hidden="1" customHeight="1" x14ac:dyDescent="0.2">
      <c r="A151" s="354"/>
      <c r="B151" s="285"/>
      <c r="C151" s="354"/>
      <c r="D151" s="355"/>
      <c r="E151" s="356"/>
      <c r="F151" s="305"/>
      <c r="G151" s="402"/>
      <c r="H151" s="403"/>
      <c r="I151" s="404">
        <v>0</v>
      </c>
      <c r="J151" s="288">
        <v>0</v>
      </c>
      <c r="K151" s="288">
        <v>0</v>
      </c>
      <c r="L151" s="413"/>
      <c r="M151" s="413"/>
      <c r="N151" s="414"/>
    </row>
    <row r="152" spans="1:14" ht="59.25" hidden="1" customHeight="1" x14ac:dyDescent="0.2">
      <c r="A152" s="354"/>
      <c r="B152" s="285"/>
      <c r="C152" s="354"/>
      <c r="D152" s="355"/>
      <c r="E152" s="356"/>
      <c r="F152" s="305"/>
      <c r="G152" s="402"/>
      <c r="H152" s="403"/>
      <c r="I152" s="404">
        <v>0</v>
      </c>
      <c r="J152" s="288">
        <v>0</v>
      </c>
      <c r="K152" s="288">
        <v>0</v>
      </c>
      <c r="L152" s="413"/>
      <c r="M152" s="413"/>
      <c r="N152" s="414"/>
    </row>
    <row r="153" spans="1:14" ht="59.25" hidden="1" customHeight="1" x14ac:dyDescent="0.2">
      <c r="A153" s="354"/>
      <c r="B153" s="285"/>
      <c r="C153" s="354"/>
      <c r="D153" s="355"/>
      <c r="E153" s="356"/>
      <c r="F153" s="312"/>
      <c r="G153" s="402"/>
      <c r="H153" s="403"/>
      <c r="I153" s="404">
        <v>0</v>
      </c>
      <c r="J153" s="288">
        <v>0</v>
      </c>
      <c r="K153" s="288">
        <v>0</v>
      </c>
      <c r="L153" s="413"/>
      <c r="M153" s="413"/>
      <c r="N153" s="414"/>
    </row>
    <row r="154" spans="1:14" ht="59.25" hidden="1" customHeight="1" x14ac:dyDescent="0.2">
      <c r="A154" s="354"/>
      <c r="B154" s="285"/>
      <c r="C154" s="354"/>
      <c r="D154" s="355"/>
      <c r="E154" s="356"/>
      <c r="F154" s="312"/>
      <c r="G154" s="402"/>
      <c r="H154" s="403"/>
      <c r="I154" s="404">
        <v>0</v>
      </c>
      <c r="J154" s="288">
        <v>0</v>
      </c>
      <c r="K154" s="288">
        <v>0</v>
      </c>
      <c r="L154" s="413"/>
      <c r="M154" s="413"/>
      <c r="N154" s="414"/>
    </row>
    <row r="155" spans="1:14" ht="59.25" hidden="1" customHeight="1" x14ac:dyDescent="0.2">
      <c r="A155" s="354"/>
      <c r="B155" s="285"/>
      <c r="C155" s="354"/>
      <c r="D155" s="355"/>
      <c r="E155" s="356"/>
      <c r="F155" s="312"/>
      <c r="G155" s="402"/>
      <c r="H155" s="403"/>
      <c r="I155" s="404">
        <v>0</v>
      </c>
      <c r="J155" s="288">
        <v>0</v>
      </c>
      <c r="K155" s="288">
        <v>0</v>
      </c>
      <c r="L155" s="413"/>
      <c r="M155" s="413"/>
      <c r="N155" s="414"/>
    </row>
    <row r="156" spans="1:14" ht="59.25" hidden="1" customHeight="1" x14ac:dyDescent="0.2">
      <c r="A156" s="354"/>
      <c r="B156" s="285"/>
      <c r="C156" s="354"/>
      <c r="D156" s="355"/>
      <c r="E156" s="356"/>
      <c r="F156" s="312"/>
      <c r="G156" s="402"/>
      <c r="H156" s="403"/>
      <c r="I156" s="404">
        <v>0</v>
      </c>
      <c r="J156" s="288">
        <v>0</v>
      </c>
      <c r="K156" s="288">
        <v>0</v>
      </c>
      <c r="L156" s="413"/>
      <c r="M156" s="413"/>
      <c r="N156" s="414"/>
    </row>
    <row r="157" spans="1:14" ht="59.25" hidden="1" customHeight="1" x14ac:dyDescent="0.2">
      <c r="A157" s="354"/>
      <c r="B157" s="285"/>
      <c r="C157" s="354"/>
      <c r="D157" s="355"/>
      <c r="E157" s="356"/>
      <c r="F157" s="312"/>
      <c r="G157" s="402"/>
      <c r="H157" s="403"/>
      <c r="I157" s="404">
        <v>0</v>
      </c>
      <c r="J157" s="288">
        <v>0</v>
      </c>
      <c r="K157" s="288">
        <v>0</v>
      </c>
      <c r="L157" s="413"/>
      <c r="M157" s="413"/>
      <c r="N157" s="414"/>
    </row>
    <row r="158" spans="1:14" ht="59.25" hidden="1" customHeight="1" x14ac:dyDescent="0.2">
      <c r="A158" s="354"/>
      <c r="B158" s="285"/>
      <c r="C158" s="354"/>
      <c r="D158" s="355"/>
      <c r="E158" s="356"/>
      <c r="F158" s="312"/>
      <c r="G158" s="402"/>
      <c r="H158" s="403"/>
      <c r="I158" s="404">
        <v>0</v>
      </c>
      <c r="J158" s="288">
        <v>0</v>
      </c>
      <c r="K158" s="288">
        <v>0</v>
      </c>
      <c r="L158" s="413"/>
      <c r="M158" s="413"/>
      <c r="N158" s="414"/>
    </row>
    <row r="159" spans="1:14" ht="59.25" hidden="1" customHeight="1" x14ac:dyDescent="0.2">
      <c r="A159" s="354"/>
      <c r="B159" s="285"/>
      <c r="C159" s="354"/>
      <c r="D159" s="355"/>
      <c r="E159" s="356"/>
      <c r="F159" s="312"/>
      <c r="G159" s="402"/>
      <c r="H159" s="403"/>
      <c r="I159" s="404">
        <v>0</v>
      </c>
      <c r="J159" s="288">
        <v>0</v>
      </c>
      <c r="K159" s="288">
        <v>0</v>
      </c>
      <c r="L159" s="413"/>
      <c r="M159" s="413"/>
      <c r="N159" s="414"/>
    </row>
    <row r="160" spans="1:14" ht="59.25" hidden="1" customHeight="1" x14ac:dyDescent="0.2">
      <c r="A160" s="354"/>
      <c r="B160" s="285"/>
      <c r="C160" s="354"/>
      <c r="D160" s="355"/>
      <c r="E160" s="356"/>
      <c r="F160" s="312"/>
      <c r="G160" s="402"/>
      <c r="H160" s="403"/>
      <c r="I160" s="404">
        <v>0</v>
      </c>
      <c r="J160" s="288">
        <v>0</v>
      </c>
      <c r="K160" s="288">
        <v>0</v>
      </c>
      <c r="L160" s="413"/>
      <c r="M160" s="413"/>
      <c r="N160" s="414"/>
    </row>
    <row r="161" spans="1:14" ht="59.25" hidden="1" customHeight="1" x14ac:dyDescent="0.2">
      <c r="A161" s="354"/>
      <c r="B161" s="285"/>
      <c r="C161" s="354"/>
      <c r="D161" s="355"/>
      <c r="E161" s="356"/>
      <c r="F161" s="312"/>
      <c r="G161" s="402"/>
      <c r="H161" s="403"/>
      <c r="I161" s="404">
        <v>0</v>
      </c>
      <c r="J161" s="288">
        <v>0</v>
      </c>
      <c r="K161" s="288">
        <v>0</v>
      </c>
      <c r="L161" s="413"/>
      <c r="M161" s="413"/>
      <c r="N161" s="414"/>
    </row>
    <row r="162" spans="1:14" ht="59.25" hidden="1" customHeight="1" x14ac:dyDescent="0.2">
      <c r="A162" s="354"/>
      <c r="B162" s="285"/>
      <c r="C162" s="354"/>
      <c r="D162" s="355"/>
      <c r="E162" s="356"/>
      <c r="F162" s="312"/>
      <c r="G162" s="402"/>
      <c r="H162" s="403"/>
      <c r="I162" s="404">
        <v>0</v>
      </c>
      <c r="J162" s="288">
        <v>0</v>
      </c>
      <c r="K162" s="288">
        <v>0</v>
      </c>
      <c r="L162" s="413"/>
      <c r="M162" s="413"/>
      <c r="N162" s="414"/>
    </row>
    <row r="163" spans="1:14" ht="59.25" hidden="1" customHeight="1" x14ac:dyDescent="0.2">
      <c r="A163" s="354"/>
      <c r="B163" s="285"/>
      <c r="C163" s="354"/>
      <c r="D163" s="355"/>
      <c r="E163" s="356"/>
      <c r="F163" s="305"/>
      <c r="G163" s="402"/>
      <c r="H163" s="403"/>
      <c r="I163" s="404">
        <v>0</v>
      </c>
      <c r="J163" s="288">
        <v>0</v>
      </c>
      <c r="K163" s="288"/>
      <c r="L163" s="413"/>
      <c r="M163" s="413"/>
      <c r="N163" s="414"/>
    </row>
    <row r="164" spans="1:14" ht="59.25" hidden="1" customHeight="1" x14ac:dyDescent="0.2">
      <c r="A164" s="354"/>
      <c r="B164" s="285"/>
      <c r="C164" s="354"/>
      <c r="D164" s="355"/>
      <c r="E164" s="356"/>
      <c r="F164" s="305"/>
      <c r="G164" s="402"/>
      <c r="H164" s="403"/>
      <c r="I164" s="404">
        <v>0</v>
      </c>
      <c r="J164" s="288">
        <v>0</v>
      </c>
      <c r="K164" s="288"/>
      <c r="L164" s="413"/>
      <c r="M164" s="413"/>
      <c r="N164" s="414"/>
    </row>
    <row r="165" spans="1:14" ht="59.25" hidden="1" customHeight="1" x14ac:dyDescent="0.2">
      <c r="A165" s="354"/>
      <c r="B165" s="285"/>
      <c r="C165" s="354"/>
      <c r="D165" s="355"/>
      <c r="E165" s="356"/>
      <c r="F165" s="305"/>
      <c r="G165" s="402"/>
      <c r="H165" s="403"/>
      <c r="I165" s="404">
        <v>0</v>
      </c>
      <c r="J165" s="288">
        <v>0</v>
      </c>
      <c r="K165" s="288"/>
      <c r="L165" s="413"/>
      <c r="M165" s="413"/>
      <c r="N165" s="414"/>
    </row>
    <row r="166" spans="1:14" s="358" customFormat="1" ht="59.25" hidden="1" customHeight="1" x14ac:dyDescent="0.2">
      <c r="A166" s="359"/>
      <c r="B166" s="285"/>
      <c r="C166" s="359"/>
      <c r="D166" s="360"/>
      <c r="E166" s="361"/>
      <c r="F166" s="409"/>
      <c r="G166" s="406"/>
      <c r="H166" s="410"/>
      <c r="I166" s="404">
        <v>0</v>
      </c>
      <c r="J166" s="288">
        <v>0</v>
      </c>
      <c r="K166" s="407">
        <v>0</v>
      </c>
      <c r="L166" s="411"/>
      <c r="M166" s="411"/>
      <c r="N166" s="412"/>
    </row>
    <row r="167" spans="1:14" ht="59.25" hidden="1" customHeight="1" thickBot="1" x14ac:dyDescent="0.25">
      <c r="A167" s="294"/>
      <c r="B167" s="294"/>
      <c r="C167" s="294"/>
      <c r="D167" s="333"/>
      <c r="E167" s="296"/>
      <c r="F167" s="297"/>
      <c r="G167" s="415"/>
      <c r="H167" s="416"/>
      <c r="I167" s="416"/>
      <c r="J167" s="300"/>
      <c r="K167" s="300"/>
      <c r="L167" s="417"/>
      <c r="M167" s="417"/>
      <c r="N167" s="418"/>
    </row>
    <row r="168" spans="1:14" s="430" customFormat="1" ht="33" customHeight="1" thickBot="1" x14ac:dyDescent="0.25">
      <c r="A168" s="419" t="s">
        <v>345</v>
      </c>
      <c r="B168" s="419" t="s">
        <v>345</v>
      </c>
      <c r="C168" s="419" t="s">
        <v>345</v>
      </c>
      <c r="D168" s="420" t="s">
        <v>10</v>
      </c>
      <c r="E168" s="421" t="s">
        <v>345</v>
      </c>
      <c r="F168" s="422" t="s">
        <v>345</v>
      </c>
      <c r="G168" s="423" t="s">
        <v>345</v>
      </c>
      <c r="H168" s="423" t="s">
        <v>496</v>
      </c>
      <c r="I168" s="424">
        <f>I12</f>
        <v>2735382</v>
      </c>
      <c r="J168" s="425">
        <v>28362700</v>
      </c>
      <c r="K168" s="426">
        <v>0</v>
      </c>
      <c r="L168" s="427">
        <v>0</v>
      </c>
      <c r="M168" s="428">
        <v>0</v>
      </c>
      <c r="N168" s="429" t="s">
        <v>345</v>
      </c>
    </row>
    <row r="169" spans="1:14" ht="18.75" x14ac:dyDescent="0.2">
      <c r="F169" s="431"/>
      <c r="G169" s="431"/>
      <c r="H169" s="431"/>
      <c r="I169" s="431"/>
      <c r="J169" s="431"/>
      <c r="K169" s="431"/>
      <c r="L169" s="431"/>
      <c r="M169" s="432"/>
      <c r="N169" s="432"/>
    </row>
    <row r="170" spans="1:14" ht="18.75" x14ac:dyDescent="0.2">
      <c r="D170" s="912"/>
      <c r="E170" s="913"/>
      <c r="F170" s="913"/>
      <c r="G170" s="913"/>
      <c r="H170" s="433"/>
      <c r="I170" s="431"/>
      <c r="J170" s="431"/>
      <c r="K170" s="431"/>
      <c r="L170" s="431"/>
      <c r="M170" s="432"/>
      <c r="N170" s="432"/>
    </row>
    <row r="171" spans="1:14" ht="18.75" x14ac:dyDescent="0.2">
      <c r="C171" s="589"/>
      <c r="D171" s="590" t="s">
        <v>692</v>
      </c>
      <c r="E171" s="590"/>
      <c r="F171" s="431"/>
      <c r="G171" s="431"/>
      <c r="H171" s="431"/>
      <c r="I171" s="431" t="s">
        <v>691</v>
      </c>
      <c r="J171" s="431"/>
      <c r="K171" s="431"/>
      <c r="L171" s="431"/>
      <c r="M171" s="432"/>
      <c r="N171" s="432"/>
    </row>
    <row r="172" spans="1:14" ht="18.75" x14ac:dyDescent="0.2">
      <c r="F172" s="431"/>
      <c r="G172" s="431"/>
      <c r="H172" s="431"/>
      <c r="I172" s="431"/>
      <c r="J172" s="431"/>
      <c r="K172" s="431"/>
      <c r="L172" s="431"/>
      <c r="M172" s="432"/>
      <c r="N172" s="432"/>
    </row>
    <row r="173" spans="1:14" ht="18.75" x14ac:dyDescent="0.2">
      <c r="F173" s="431"/>
      <c r="G173" s="431"/>
      <c r="H173" s="431"/>
      <c r="I173" s="431"/>
      <c r="J173" s="431"/>
      <c r="K173" s="431"/>
      <c r="L173" s="431"/>
      <c r="M173" s="432"/>
      <c r="N173" s="432"/>
    </row>
    <row r="174" spans="1:14" ht="18.75" x14ac:dyDescent="0.2">
      <c r="F174" s="431"/>
      <c r="G174" s="431"/>
      <c r="H174" s="431"/>
      <c r="I174" s="431"/>
      <c r="J174" s="431"/>
      <c r="K174" s="431"/>
      <c r="L174" s="431"/>
      <c r="M174" s="432"/>
      <c r="N174" s="432"/>
    </row>
    <row r="175" spans="1:14" ht="18.75" x14ac:dyDescent="0.2">
      <c r="F175" s="431"/>
      <c r="G175" s="431"/>
      <c r="H175" s="431"/>
      <c r="I175" s="431"/>
      <c r="J175" s="431"/>
      <c r="K175" s="431"/>
      <c r="L175" s="431"/>
      <c r="M175" s="432"/>
      <c r="N175" s="432"/>
    </row>
    <row r="176" spans="1:14" ht="18.75" x14ac:dyDescent="0.2">
      <c r="F176" s="431"/>
      <c r="G176" s="431"/>
      <c r="H176" s="431"/>
      <c r="I176" s="431"/>
      <c r="J176" s="431"/>
      <c r="K176" s="431"/>
      <c r="L176" s="431"/>
      <c r="M176" s="432"/>
      <c r="N176" s="432"/>
    </row>
    <row r="177" spans="2:14" ht="18.75" x14ac:dyDescent="0.2">
      <c r="F177" s="431"/>
      <c r="G177" s="431"/>
      <c r="H177" s="431"/>
      <c r="I177" s="431"/>
      <c r="J177" s="431"/>
      <c r="K177" s="431"/>
      <c r="L177" s="431"/>
      <c r="M177" s="432"/>
      <c r="N177" s="432"/>
    </row>
    <row r="178" spans="2:14" ht="18.75" x14ac:dyDescent="0.2">
      <c r="F178" s="431"/>
      <c r="G178" s="431"/>
      <c r="H178" s="431"/>
      <c r="I178" s="431"/>
      <c r="J178" s="431"/>
      <c r="K178" s="431"/>
      <c r="L178" s="431"/>
      <c r="M178" s="432"/>
      <c r="N178" s="432"/>
    </row>
    <row r="179" spans="2:14" ht="18.75" x14ac:dyDescent="0.2">
      <c r="F179" s="431"/>
      <c r="G179" s="431"/>
      <c r="H179" s="431"/>
      <c r="I179" s="431"/>
      <c r="J179" s="431"/>
      <c r="K179" s="431"/>
      <c r="L179" s="431"/>
      <c r="M179" s="432"/>
      <c r="N179" s="432"/>
    </row>
    <row r="180" spans="2:14" ht="18.75" x14ac:dyDescent="0.2">
      <c r="F180" s="431"/>
      <c r="G180" s="431"/>
      <c r="H180" s="431"/>
      <c r="I180" s="431"/>
      <c r="J180" s="431"/>
      <c r="K180" s="431"/>
      <c r="L180" s="431"/>
      <c r="M180" s="432"/>
      <c r="N180" s="432"/>
    </row>
    <row r="181" spans="2:14" ht="18.75" x14ac:dyDescent="0.2">
      <c r="B181" s="264"/>
      <c r="C181" s="264"/>
      <c r="D181" s="264"/>
      <c r="E181" s="264"/>
      <c r="F181" s="431"/>
      <c r="G181" s="431"/>
      <c r="H181" s="431"/>
      <c r="I181" s="431"/>
      <c r="J181" s="431"/>
      <c r="K181" s="431"/>
      <c r="L181" s="431"/>
      <c r="M181" s="432"/>
      <c r="N181" s="432"/>
    </row>
    <row r="182" spans="2:14" ht="18.75" x14ac:dyDescent="0.2">
      <c r="B182" s="264"/>
      <c r="C182" s="264"/>
      <c r="D182" s="264"/>
      <c r="E182" s="264"/>
      <c r="F182" s="431"/>
      <c r="G182" s="431"/>
      <c r="H182" s="431"/>
      <c r="I182" s="431"/>
      <c r="J182" s="431"/>
      <c r="K182" s="431"/>
      <c r="L182" s="431"/>
      <c r="M182" s="432"/>
      <c r="N182" s="432"/>
    </row>
    <row r="183" spans="2:14" ht="18.75" x14ac:dyDescent="0.2">
      <c r="B183" s="264"/>
      <c r="C183" s="264"/>
      <c r="D183" s="264"/>
      <c r="E183" s="264"/>
      <c r="F183" s="431"/>
      <c r="G183" s="431"/>
      <c r="H183" s="431"/>
      <c r="I183" s="431"/>
      <c r="J183" s="431"/>
      <c r="K183" s="431"/>
      <c r="L183" s="431"/>
      <c r="M183" s="432"/>
      <c r="N183" s="432"/>
    </row>
    <row r="184" spans="2:14" ht="18.75" x14ac:dyDescent="0.2">
      <c r="B184" s="264"/>
      <c r="C184" s="264"/>
      <c r="D184" s="264"/>
      <c r="E184" s="264"/>
      <c r="F184" s="431"/>
      <c r="G184" s="431"/>
      <c r="H184" s="431"/>
      <c r="I184" s="431"/>
      <c r="J184" s="431"/>
      <c r="K184" s="431"/>
      <c r="L184" s="431"/>
      <c r="M184" s="432"/>
      <c r="N184" s="432"/>
    </row>
    <row r="185" spans="2:14" ht="18.75" x14ac:dyDescent="0.2">
      <c r="B185" s="264"/>
      <c r="C185" s="264"/>
      <c r="D185" s="264"/>
      <c r="E185" s="264"/>
      <c r="F185" s="431"/>
      <c r="G185" s="431"/>
      <c r="H185" s="431"/>
      <c r="I185" s="431"/>
      <c r="J185" s="431"/>
      <c r="K185" s="431"/>
      <c r="L185" s="431"/>
      <c r="M185" s="432"/>
      <c r="N185" s="432"/>
    </row>
    <row r="186" spans="2:14" ht="18.75" x14ac:dyDescent="0.2">
      <c r="B186" s="264"/>
      <c r="C186" s="264"/>
      <c r="D186" s="264"/>
      <c r="E186" s="264"/>
      <c r="F186" s="431"/>
      <c r="G186" s="431"/>
      <c r="H186" s="431"/>
      <c r="I186" s="431"/>
      <c r="J186" s="431"/>
      <c r="K186" s="431"/>
      <c r="L186" s="431"/>
      <c r="M186" s="432"/>
      <c r="N186" s="432"/>
    </row>
    <row r="187" spans="2:14" ht="18.75" x14ac:dyDescent="0.2">
      <c r="B187" s="264"/>
      <c r="C187" s="264"/>
      <c r="D187" s="264"/>
      <c r="E187" s="264"/>
      <c r="F187" s="431"/>
      <c r="G187" s="431"/>
      <c r="H187" s="431"/>
      <c r="I187" s="431"/>
      <c r="J187" s="431"/>
      <c r="K187" s="431"/>
      <c r="L187" s="431"/>
      <c r="M187" s="432"/>
      <c r="N187" s="432"/>
    </row>
    <row r="188" spans="2:14" ht="18.75" x14ac:dyDescent="0.2">
      <c r="B188" s="264"/>
      <c r="C188" s="264"/>
      <c r="D188" s="264"/>
      <c r="E188" s="264"/>
      <c r="F188" s="431"/>
      <c r="G188" s="431"/>
      <c r="H188" s="431"/>
      <c r="I188" s="431"/>
      <c r="J188" s="431"/>
      <c r="K188" s="431"/>
      <c r="L188" s="431"/>
      <c r="M188" s="432"/>
      <c r="N188" s="432"/>
    </row>
    <row r="189" spans="2:14" ht="18.75" x14ac:dyDescent="0.2">
      <c r="B189" s="264"/>
      <c r="C189" s="264"/>
      <c r="D189" s="264"/>
      <c r="E189" s="264"/>
      <c r="F189" s="431"/>
      <c r="G189" s="431"/>
      <c r="H189" s="431"/>
      <c r="I189" s="431"/>
      <c r="J189" s="431"/>
      <c r="K189" s="431"/>
      <c r="L189" s="431"/>
      <c r="M189" s="432"/>
      <c r="N189" s="432"/>
    </row>
    <row r="190" spans="2:14" ht="18.75" x14ac:dyDescent="0.2">
      <c r="B190" s="264"/>
      <c r="C190" s="264"/>
      <c r="D190" s="264"/>
      <c r="E190" s="264"/>
      <c r="F190" s="431"/>
      <c r="G190" s="431"/>
      <c r="H190" s="431"/>
      <c r="I190" s="431"/>
      <c r="J190" s="431"/>
      <c r="K190" s="431"/>
      <c r="L190" s="431"/>
      <c r="M190" s="432"/>
      <c r="N190" s="432"/>
    </row>
    <row r="191" spans="2:14" ht="18.75" x14ac:dyDescent="0.2">
      <c r="B191" s="264"/>
      <c r="C191" s="264"/>
      <c r="D191" s="264"/>
      <c r="E191" s="264"/>
      <c r="F191" s="431"/>
      <c r="G191" s="431"/>
      <c r="H191" s="431"/>
      <c r="I191" s="431"/>
      <c r="J191" s="431"/>
      <c r="K191" s="431"/>
      <c r="L191" s="431"/>
      <c r="M191" s="432"/>
      <c r="N191" s="432"/>
    </row>
    <row r="192" spans="2:14" ht="18.75" x14ac:dyDescent="0.2">
      <c r="B192" s="264"/>
      <c r="C192" s="264"/>
      <c r="D192" s="264"/>
      <c r="E192" s="264"/>
      <c r="F192" s="431"/>
      <c r="G192" s="431"/>
      <c r="H192" s="431"/>
      <c r="I192" s="431"/>
      <c r="J192" s="431"/>
      <c r="K192" s="431"/>
      <c r="L192" s="431"/>
      <c r="M192" s="432"/>
      <c r="N192" s="432"/>
    </row>
    <row r="193" spans="2:14" ht="18.75" x14ac:dyDescent="0.2">
      <c r="B193" s="264"/>
      <c r="C193" s="264"/>
      <c r="D193" s="264"/>
      <c r="E193" s="264"/>
      <c r="F193" s="431"/>
      <c r="G193" s="431"/>
      <c r="H193" s="431"/>
      <c r="I193" s="431"/>
      <c r="J193" s="431"/>
      <c r="K193" s="431"/>
      <c r="L193" s="431"/>
      <c r="M193" s="432"/>
      <c r="N193" s="432"/>
    </row>
    <row r="194" spans="2:14" ht="18.75" x14ac:dyDescent="0.2">
      <c r="B194" s="264"/>
      <c r="C194" s="264"/>
      <c r="D194" s="264"/>
      <c r="E194" s="264"/>
      <c r="F194" s="431"/>
      <c r="G194" s="431"/>
      <c r="H194" s="431"/>
      <c r="I194" s="431"/>
      <c r="J194" s="431"/>
      <c r="K194" s="431"/>
      <c r="L194" s="431"/>
      <c r="M194" s="432"/>
      <c r="N194" s="432"/>
    </row>
    <row r="195" spans="2:14" ht="18.75" x14ac:dyDescent="0.2">
      <c r="B195" s="264"/>
      <c r="C195" s="264"/>
      <c r="D195" s="264"/>
      <c r="E195" s="264"/>
      <c r="F195" s="431"/>
      <c r="G195" s="431"/>
      <c r="H195" s="431"/>
      <c r="I195" s="431"/>
      <c r="J195" s="431"/>
      <c r="K195" s="431"/>
      <c r="L195" s="431"/>
      <c r="M195" s="432"/>
      <c r="N195" s="432"/>
    </row>
    <row r="196" spans="2:14" ht="18.75" x14ac:dyDescent="0.2">
      <c r="B196" s="264"/>
      <c r="C196" s="264"/>
      <c r="D196" s="264"/>
      <c r="E196" s="264"/>
      <c r="F196" s="431"/>
      <c r="G196" s="431"/>
      <c r="H196" s="431"/>
      <c r="I196" s="431"/>
      <c r="J196" s="431"/>
      <c r="K196" s="431"/>
      <c r="L196" s="431"/>
      <c r="M196" s="432"/>
      <c r="N196" s="432"/>
    </row>
    <row r="197" spans="2:14" ht="18.75" x14ac:dyDescent="0.2">
      <c r="B197" s="264"/>
      <c r="C197" s="264"/>
      <c r="D197" s="264"/>
      <c r="E197" s="264"/>
      <c r="F197" s="431"/>
      <c r="G197" s="431"/>
      <c r="H197" s="431"/>
      <c r="I197" s="431"/>
      <c r="J197" s="431"/>
      <c r="K197" s="431"/>
      <c r="L197" s="431"/>
      <c r="M197" s="432"/>
      <c r="N197" s="432"/>
    </row>
    <row r="198" spans="2:14" ht="18.75" x14ac:dyDescent="0.2">
      <c r="B198" s="264"/>
      <c r="C198" s="264"/>
      <c r="D198" s="264"/>
      <c r="E198" s="264"/>
      <c r="F198" s="431"/>
      <c r="G198" s="431"/>
      <c r="H198" s="431"/>
      <c r="I198" s="431"/>
      <c r="J198" s="431"/>
      <c r="K198" s="431"/>
      <c r="L198" s="431"/>
      <c r="M198" s="432"/>
      <c r="N198" s="432"/>
    </row>
    <row r="199" spans="2:14" ht="18.75" x14ac:dyDescent="0.2">
      <c r="B199" s="264"/>
      <c r="C199" s="264"/>
      <c r="D199" s="264"/>
      <c r="E199" s="264"/>
      <c r="F199" s="431"/>
      <c r="G199" s="431"/>
      <c r="H199" s="431"/>
      <c r="I199" s="431"/>
      <c r="J199" s="431"/>
      <c r="K199" s="431"/>
      <c r="L199" s="431"/>
      <c r="M199" s="432"/>
      <c r="N199" s="432"/>
    </row>
    <row r="200" spans="2:14" ht="18.75" x14ac:dyDescent="0.2">
      <c r="B200" s="264"/>
      <c r="C200" s="264"/>
      <c r="D200" s="264"/>
      <c r="E200" s="264"/>
      <c r="F200" s="431"/>
      <c r="G200" s="431"/>
      <c r="H200" s="431"/>
      <c r="I200" s="431"/>
      <c r="J200" s="431"/>
      <c r="K200" s="431"/>
      <c r="L200" s="431"/>
      <c r="M200" s="432"/>
      <c r="N200" s="432"/>
    </row>
    <row r="215" spans="2:14" x14ac:dyDescent="0.2">
      <c r="B215" s="434"/>
      <c r="C215" s="264"/>
      <c r="D215" s="264"/>
      <c r="E215" s="264"/>
      <c r="F215" s="264"/>
      <c r="G215" s="264"/>
      <c r="H215" s="264"/>
      <c r="I215" s="264"/>
      <c r="J215" s="264"/>
      <c r="K215" s="264"/>
      <c r="L215" s="264"/>
      <c r="M215" s="358"/>
      <c r="N215" s="358"/>
    </row>
    <row r="216" spans="2:14" x14ac:dyDescent="0.2">
      <c r="B216" s="434"/>
      <c r="C216" s="264"/>
      <c r="D216" s="264"/>
      <c r="E216" s="264"/>
      <c r="F216" s="264"/>
      <c r="G216" s="264"/>
      <c r="H216" s="264"/>
      <c r="I216" s="264"/>
      <c r="J216" s="264"/>
      <c r="K216" s="264"/>
      <c r="L216" s="264"/>
      <c r="M216" s="358"/>
      <c r="N216" s="358"/>
    </row>
    <row r="217" spans="2:14" x14ac:dyDescent="0.2">
      <c r="B217" s="434"/>
      <c r="C217" s="264"/>
      <c r="D217" s="264"/>
      <c r="E217" s="264"/>
      <c r="F217" s="264"/>
      <c r="G217" s="264"/>
      <c r="H217" s="264"/>
      <c r="I217" s="264"/>
      <c r="J217" s="264"/>
      <c r="K217" s="264"/>
      <c r="L217" s="264"/>
      <c r="M217" s="358"/>
      <c r="N217" s="358"/>
    </row>
    <row r="218" spans="2:14" x14ac:dyDescent="0.2">
      <c r="B218" s="434"/>
      <c r="C218" s="264"/>
      <c r="D218" s="264"/>
      <c r="E218" s="264"/>
      <c r="F218" s="264"/>
      <c r="G218" s="264"/>
      <c r="H218" s="264"/>
      <c r="I218" s="264"/>
      <c r="J218" s="264"/>
      <c r="K218" s="264"/>
      <c r="L218" s="264"/>
      <c r="M218" s="358"/>
      <c r="N218" s="358"/>
    </row>
    <row r="219" spans="2:14" x14ac:dyDescent="0.2">
      <c r="B219" s="434"/>
      <c r="C219" s="264"/>
      <c r="D219" s="264"/>
      <c r="E219" s="264"/>
      <c r="F219" s="264"/>
      <c r="G219" s="264"/>
      <c r="H219" s="264"/>
      <c r="I219" s="264"/>
      <c r="J219" s="264"/>
      <c r="K219" s="264"/>
      <c r="L219" s="264"/>
      <c r="M219" s="358"/>
      <c r="N219" s="358"/>
    </row>
    <row r="220" spans="2:14" x14ac:dyDescent="0.2">
      <c r="B220" s="434"/>
      <c r="C220" s="264"/>
      <c r="D220" s="264"/>
      <c r="E220" s="264"/>
      <c r="F220" s="264"/>
      <c r="G220" s="264"/>
      <c r="H220" s="264"/>
      <c r="I220" s="264"/>
      <c r="J220" s="264"/>
      <c r="K220" s="264"/>
      <c r="L220" s="264"/>
      <c r="M220" s="358"/>
      <c r="N220" s="358"/>
    </row>
    <row r="221" spans="2:14" x14ac:dyDescent="0.2">
      <c r="B221" s="434"/>
      <c r="C221" s="264"/>
      <c r="D221" s="264"/>
      <c r="E221" s="264"/>
      <c r="F221" s="264"/>
      <c r="G221" s="264"/>
      <c r="H221" s="264"/>
      <c r="I221" s="264"/>
      <c r="J221" s="264"/>
      <c r="K221" s="264"/>
      <c r="L221" s="264"/>
      <c r="M221" s="358"/>
      <c r="N221" s="358"/>
    </row>
    <row r="222" spans="2:14" x14ac:dyDescent="0.2">
      <c r="B222" s="434"/>
      <c r="C222" s="264"/>
      <c r="D222" s="264"/>
      <c r="E222" s="264"/>
      <c r="F222" s="264"/>
      <c r="G222" s="264"/>
      <c r="H222" s="264"/>
      <c r="I222" s="264"/>
      <c r="J222" s="264"/>
      <c r="K222" s="264"/>
      <c r="L222" s="264"/>
      <c r="M222" s="358"/>
      <c r="N222" s="358"/>
    </row>
    <row r="223" spans="2:14" x14ac:dyDescent="0.2">
      <c r="B223" s="434"/>
      <c r="C223" s="264"/>
      <c r="D223" s="264"/>
      <c r="E223" s="264"/>
      <c r="F223" s="264"/>
      <c r="G223" s="264"/>
      <c r="H223" s="264"/>
      <c r="I223" s="264"/>
      <c r="J223" s="264"/>
      <c r="K223" s="264"/>
      <c r="L223" s="264"/>
      <c r="M223" s="358"/>
      <c r="N223" s="358"/>
    </row>
    <row r="224" spans="2:14" x14ac:dyDescent="0.2">
      <c r="B224" s="434"/>
      <c r="C224" s="264"/>
      <c r="D224" s="264"/>
      <c r="E224" s="264"/>
      <c r="F224" s="264"/>
      <c r="G224" s="264"/>
      <c r="H224" s="264"/>
      <c r="I224" s="264"/>
      <c r="J224" s="264"/>
      <c r="K224" s="264"/>
      <c r="L224" s="264"/>
      <c r="M224" s="358"/>
      <c r="N224" s="358"/>
    </row>
    <row r="225" spans="2:14" x14ac:dyDescent="0.2">
      <c r="B225" s="434"/>
      <c r="C225" s="264"/>
      <c r="D225" s="264"/>
      <c r="E225" s="264"/>
      <c r="F225" s="264"/>
      <c r="G225" s="264"/>
      <c r="H225" s="264"/>
      <c r="I225" s="264"/>
      <c r="J225" s="264"/>
      <c r="K225" s="264"/>
      <c r="L225" s="264"/>
      <c r="M225" s="358"/>
      <c r="N225" s="358"/>
    </row>
    <row r="226" spans="2:14" x14ac:dyDescent="0.2">
      <c r="B226" s="434"/>
      <c r="C226" s="264"/>
      <c r="D226" s="264"/>
      <c r="E226" s="264"/>
      <c r="F226" s="264"/>
      <c r="G226" s="264"/>
      <c r="H226" s="264"/>
      <c r="I226" s="264"/>
      <c r="J226" s="264"/>
      <c r="K226" s="264"/>
      <c r="L226" s="264"/>
      <c r="M226" s="358"/>
      <c r="N226" s="358"/>
    </row>
    <row r="227" spans="2:14" x14ac:dyDescent="0.2">
      <c r="B227" s="434"/>
      <c r="C227" s="264"/>
      <c r="D227" s="264"/>
      <c r="E227" s="264"/>
      <c r="F227" s="264"/>
      <c r="G227" s="264"/>
      <c r="H227" s="264"/>
      <c r="I227" s="264"/>
      <c r="J227" s="264"/>
      <c r="K227" s="264"/>
      <c r="L227" s="264"/>
      <c r="M227" s="358"/>
      <c r="N227" s="358"/>
    </row>
    <row r="228" spans="2:14" x14ac:dyDescent="0.2">
      <c r="B228" s="434"/>
      <c r="C228" s="264"/>
      <c r="D228" s="264"/>
      <c r="E228" s="264"/>
      <c r="F228" s="264"/>
      <c r="G228" s="264"/>
      <c r="H228" s="264"/>
      <c r="I228" s="264"/>
      <c r="J228" s="264"/>
      <c r="K228" s="264"/>
      <c r="L228" s="264"/>
      <c r="M228" s="358"/>
      <c r="N228" s="358"/>
    </row>
    <row r="229" spans="2:14" x14ac:dyDescent="0.2">
      <c r="B229" s="434"/>
      <c r="C229" s="264"/>
      <c r="D229" s="264"/>
      <c r="E229" s="264"/>
      <c r="F229" s="264"/>
      <c r="G229" s="264"/>
      <c r="H229" s="264"/>
      <c r="I229" s="264"/>
      <c r="J229" s="264"/>
      <c r="K229" s="264"/>
      <c r="L229" s="264"/>
      <c r="M229" s="358"/>
      <c r="N229" s="358"/>
    </row>
    <row r="230" spans="2:14" x14ac:dyDescent="0.2">
      <c r="B230" s="434"/>
      <c r="C230" s="264"/>
      <c r="D230" s="264"/>
      <c r="E230" s="264"/>
      <c r="F230" s="264"/>
      <c r="G230" s="264"/>
      <c r="H230" s="264"/>
      <c r="I230" s="264"/>
      <c r="J230" s="264"/>
      <c r="K230" s="264"/>
      <c r="L230" s="264"/>
      <c r="M230" s="358"/>
      <c r="N230" s="358"/>
    </row>
    <row r="231" spans="2:14" x14ac:dyDescent="0.2">
      <c r="B231" s="434"/>
      <c r="C231" s="264"/>
      <c r="D231" s="264"/>
      <c r="E231" s="264"/>
      <c r="F231" s="264"/>
      <c r="G231" s="264"/>
      <c r="H231" s="264"/>
      <c r="I231" s="264"/>
      <c r="J231" s="264"/>
      <c r="K231" s="264"/>
      <c r="L231" s="264"/>
      <c r="M231" s="358"/>
      <c r="N231" s="358"/>
    </row>
    <row r="232" spans="2:14" x14ac:dyDescent="0.2">
      <c r="B232" s="434"/>
      <c r="C232" s="264"/>
      <c r="D232" s="264"/>
      <c r="E232" s="264"/>
      <c r="F232" s="264"/>
      <c r="G232" s="264"/>
      <c r="H232" s="264"/>
      <c r="I232" s="264"/>
      <c r="J232" s="264"/>
      <c r="K232" s="264"/>
      <c r="L232" s="264"/>
      <c r="M232" s="358"/>
      <c r="N232" s="358"/>
    </row>
    <row r="233" spans="2:14" x14ac:dyDescent="0.2">
      <c r="B233" s="434"/>
      <c r="C233" s="264"/>
      <c r="D233" s="264"/>
      <c r="E233" s="264"/>
      <c r="F233" s="264"/>
      <c r="G233" s="264"/>
      <c r="H233" s="264"/>
      <c r="I233" s="264"/>
      <c r="J233" s="264"/>
      <c r="K233" s="264"/>
      <c r="L233" s="264"/>
      <c r="M233" s="358"/>
      <c r="N233" s="358"/>
    </row>
    <row r="234" spans="2:14" x14ac:dyDescent="0.2">
      <c r="B234" s="434"/>
      <c r="C234" s="264"/>
      <c r="D234" s="264"/>
      <c r="E234" s="264"/>
      <c r="F234" s="264"/>
      <c r="G234" s="264"/>
      <c r="H234" s="264"/>
      <c r="I234" s="264"/>
      <c r="J234" s="264"/>
      <c r="K234" s="264"/>
      <c r="L234" s="264"/>
      <c r="M234" s="358"/>
      <c r="N234" s="358"/>
    </row>
    <row r="235" spans="2:14" x14ac:dyDescent="0.2">
      <c r="B235" s="434"/>
      <c r="C235" s="264"/>
      <c r="D235" s="264"/>
      <c r="E235" s="264"/>
      <c r="F235" s="264"/>
      <c r="G235" s="264"/>
      <c r="H235" s="264"/>
      <c r="I235" s="264"/>
      <c r="J235" s="264"/>
      <c r="K235" s="264"/>
      <c r="L235" s="264"/>
      <c r="M235" s="358"/>
      <c r="N235" s="358"/>
    </row>
    <row r="236" spans="2:14" x14ac:dyDescent="0.2">
      <c r="B236" s="434"/>
      <c r="C236" s="264"/>
      <c r="D236" s="264"/>
      <c r="E236" s="264"/>
      <c r="F236" s="264"/>
      <c r="G236" s="264"/>
      <c r="H236" s="264"/>
      <c r="I236" s="264"/>
      <c r="J236" s="264"/>
      <c r="K236" s="264"/>
      <c r="L236" s="264"/>
      <c r="M236" s="358"/>
      <c r="N236" s="358"/>
    </row>
    <row r="237" spans="2:14" x14ac:dyDescent="0.2">
      <c r="B237" s="434"/>
      <c r="C237" s="264"/>
      <c r="D237" s="264"/>
      <c r="E237" s="264"/>
      <c r="F237" s="264"/>
      <c r="G237" s="264"/>
      <c r="H237" s="264"/>
      <c r="I237" s="264"/>
      <c r="J237" s="264"/>
      <c r="K237" s="264"/>
      <c r="L237" s="264"/>
      <c r="M237" s="358"/>
      <c r="N237" s="358"/>
    </row>
    <row r="238" spans="2:14" x14ac:dyDescent="0.2">
      <c r="B238" s="434"/>
      <c r="C238" s="264"/>
      <c r="D238" s="264"/>
      <c r="E238" s="264"/>
      <c r="F238" s="264"/>
      <c r="G238" s="264"/>
      <c r="H238" s="264"/>
      <c r="I238" s="264"/>
      <c r="J238" s="264"/>
      <c r="K238" s="264"/>
      <c r="L238" s="264"/>
      <c r="M238" s="358"/>
      <c r="N238" s="358"/>
    </row>
    <row r="239" spans="2:14" x14ac:dyDescent="0.2">
      <c r="B239" s="434"/>
      <c r="C239" s="264"/>
      <c r="D239" s="264"/>
      <c r="E239" s="264"/>
      <c r="F239" s="264"/>
      <c r="G239" s="264"/>
      <c r="H239" s="264"/>
      <c r="I239" s="264"/>
      <c r="J239" s="264"/>
      <c r="K239" s="264"/>
      <c r="L239" s="264"/>
      <c r="M239" s="358"/>
      <c r="N239" s="358"/>
    </row>
    <row r="240" spans="2:14" x14ac:dyDescent="0.2">
      <c r="B240" s="434"/>
      <c r="C240" s="264"/>
      <c r="D240" s="264"/>
      <c r="E240" s="264"/>
      <c r="F240" s="264"/>
      <c r="G240" s="264"/>
      <c r="H240" s="264"/>
      <c r="I240" s="264"/>
      <c r="J240" s="264"/>
      <c r="K240" s="264"/>
      <c r="L240" s="264"/>
      <c r="M240" s="358"/>
      <c r="N240" s="358"/>
    </row>
    <row r="241" spans="2:14" x14ac:dyDescent="0.2">
      <c r="B241" s="434"/>
      <c r="C241" s="264"/>
      <c r="D241" s="264"/>
      <c r="E241" s="264"/>
      <c r="F241" s="264"/>
      <c r="G241" s="264"/>
      <c r="H241" s="264"/>
      <c r="I241" s="264"/>
      <c r="J241" s="264"/>
      <c r="K241" s="264"/>
      <c r="L241" s="264"/>
      <c r="M241" s="358"/>
      <c r="N241" s="358"/>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topLeftCell="A99" workbookViewId="0">
      <selection activeCell="E3" sqref="E3"/>
    </sheetView>
  </sheetViews>
  <sheetFormatPr defaultColWidth="9.140625" defaultRowHeight="12.75" x14ac:dyDescent="0.2"/>
  <cols>
    <col min="1" max="1" width="8" style="1" customWidth="1"/>
    <col min="2" max="2" width="6.85546875" style="1" customWidth="1"/>
    <col min="3" max="3" width="6.28515625" style="1" customWidth="1"/>
    <col min="4" max="4" width="44" style="1" customWidth="1"/>
    <col min="5" max="5" width="39.7109375" style="1" customWidth="1"/>
    <col min="6" max="6" width="18.140625" style="1" customWidth="1"/>
    <col min="7" max="7" width="12" style="1" customWidth="1"/>
    <col min="8" max="8" width="11" style="1" customWidth="1"/>
    <col min="9" max="9" width="11.28515625" style="1" customWidth="1"/>
    <col min="10" max="10" width="12.28515625" style="1" customWidth="1"/>
    <col min="11" max="11" width="13" style="1" hidden="1" customWidth="1"/>
    <col min="12" max="16384" width="9.140625" style="1"/>
  </cols>
  <sheetData>
    <row r="1" spans="1:10" x14ac:dyDescent="0.2">
      <c r="G1" s="1" t="s">
        <v>0</v>
      </c>
    </row>
    <row r="2" spans="1:10" x14ac:dyDescent="0.2">
      <c r="G2" s="1" t="s">
        <v>809</v>
      </c>
    </row>
    <row r="3" spans="1:10" x14ac:dyDescent="0.2">
      <c r="G3" s="1" t="s">
        <v>185</v>
      </c>
    </row>
    <row r="4" spans="1:10" x14ac:dyDescent="0.2">
      <c r="G4" s="1" t="s">
        <v>989</v>
      </c>
    </row>
    <row r="5" spans="1:10" ht="12.75" customHeight="1" x14ac:dyDescent="0.2">
      <c r="A5" s="939" t="s">
        <v>814</v>
      </c>
      <c r="B5" s="940"/>
      <c r="C5" s="940"/>
      <c r="D5" s="940"/>
      <c r="E5" s="940"/>
      <c r="F5" s="940"/>
      <c r="G5" s="940"/>
      <c r="H5" s="940"/>
      <c r="I5" s="940"/>
      <c r="J5" s="940"/>
    </row>
    <row r="6" spans="1:10" x14ac:dyDescent="0.2">
      <c r="A6" s="435" t="s">
        <v>1</v>
      </c>
    </row>
    <row r="7" spans="1:10" ht="13.5" thickBot="1" x14ac:dyDescent="0.25">
      <c r="A7" s="1" t="s">
        <v>2</v>
      </c>
      <c r="J7" s="2" t="s">
        <v>3</v>
      </c>
    </row>
    <row r="8" spans="1:10" ht="12.75" customHeight="1" x14ac:dyDescent="0.2">
      <c r="A8" s="941" t="s">
        <v>4</v>
      </c>
      <c r="B8" s="943" t="s">
        <v>5</v>
      </c>
      <c r="C8" s="943" t="s">
        <v>6</v>
      </c>
      <c r="D8" s="945" t="s">
        <v>7</v>
      </c>
      <c r="E8" s="945" t="s">
        <v>8</v>
      </c>
      <c r="F8" s="943" t="s">
        <v>9</v>
      </c>
      <c r="G8" s="946" t="s">
        <v>10</v>
      </c>
      <c r="H8" s="946" t="s">
        <v>11</v>
      </c>
      <c r="I8" s="946" t="s">
        <v>12</v>
      </c>
      <c r="J8" s="948"/>
    </row>
    <row r="9" spans="1:10" ht="110.45" customHeight="1" x14ac:dyDescent="0.2">
      <c r="A9" s="942"/>
      <c r="B9" s="944"/>
      <c r="C9" s="944"/>
      <c r="D9" s="944"/>
      <c r="E9" s="944"/>
      <c r="F9" s="944"/>
      <c r="G9" s="947"/>
      <c r="H9" s="947"/>
      <c r="I9" s="795" t="s">
        <v>13</v>
      </c>
      <c r="J9" s="574" t="s">
        <v>14</v>
      </c>
    </row>
    <row r="10" spans="1:10" x14ac:dyDescent="0.2">
      <c r="A10" s="6">
        <v>1</v>
      </c>
      <c r="B10" s="3">
        <v>2</v>
      </c>
      <c r="C10" s="3">
        <v>3</v>
      </c>
      <c r="D10" s="3">
        <v>4</v>
      </c>
      <c r="E10" s="3">
        <v>5</v>
      </c>
      <c r="F10" s="3">
        <v>6</v>
      </c>
      <c r="G10" s="575">
        <v>7</v>
      </c>
      <c r="H10" s="575">
        <v>8</v>
      </c>
      <c r="I10" s="575">
        <v>9</v>
      </c>
      <c r="J10" s="576">
        <v>10</v>
      </c>
    </row>
    <row r="11" spans="1:10" x14ac:dyDescent="0.2">
      <c r="A11" s="7" t="s">
        <v>15</v>
      </c>
      <c r="B11" s="4" t="s">
        <v>16</v>
      </c>
      <c r="C11" s="4" t="s">
        <v>16</v>
      </c>
      <c r="D11" s="4" t="s">
        <v>712</v>
      </c>
      <c r="E11" s="4" t="s">
        <v>16</v>
      </c>
      <c r="F11" s="4" t="s">
        <v>16</v>
      </c>
      <c r="G11" s="577">
        <f>SUM(G12:G55)-G46</f>
        <v>14486306.18</v>
      </c>
      <c r="H11" s="577">
        <f>SUM(H12:H55)-H46</f>
        <v>10906720</v>
      </c>
      <c r="I11" s="577">
        <f>SUM(I12:I55)-I46</f>
        <v>3579586.1799999997</v>
      </c>
      <c r="J11" s="617">
        <f>SUM(J12:J55)-J46</f>
        <v>3417182</v>
      </c>
    </row>
    <row r="12" spans="1:10" ht="68.25" customHeight="1" x14ac:dyDescent="0.2">
      <c r="A12" s="8" t="s">
        <v>17</v>
      </c>
      <c r="B12" s="794" t="s">
        <v>18</v>
      </c>
      <c r="C12" s="5" t="s">
        <v>19</v>
      </c>
      <c r="D12" s="5" t="s">
        <v>20</v>
      </c>
      <c r="E12" s="5" t="s">
        <v>21</v>
      </c>
      <c r="F12" s="5" t="s">
        <v>22</v>
      </c>
      <c r="G12" s="578">
        <f>H12+I12</f>
        <v>282443</v>
      </c>
      <c r="H12" s="579">
        <f>165443+68000+49000</f>
        <v>282443</v>
      </c>
      <c r="I12" s="579">
        <v>0</v>
      </c>
      <c r="J12" s="580">
        <v>0</v>
      </c>
    </row>
    <row r="13" spans="1:10" ht="55.5" customHeight="1" x14ac:dyDescent="0.2">
      <c r="A13" s="8" t="s">
        <v>23</v>
      </c>
      <c r="B13" s="794" t="s">
        <v>24</v>
      </c>
      <c r="C13" s="5" t="s">
        <v>25</v>
      </c>
      <c r="D13" s="5" t="s">
        <v>26</v>
      </c>
      <c r="E13" s="5" t="s">
        <v>21</v>
      </c>
      <c r="F13" s="5" t="s">
        <v>22</v>
      </c>
      <c r="G13" s="578">
        <f t="shared" ref="G13:G95" si="0">H13+I13</f>
        <v>278000</v>
      </c>
      <c r="H13" s="579">
        <v>278000</v>
      </c>
      <c r="I13" s="579">
        <v>0</v>
      </c>
      <c r="J13" s="580">
        <v>0</v>
      </c>
    </row>
    <row r="14" spans="1:10" ht="42" customHeight="1" x14ac:dyDescent="0.2">
      <c r="A14" s="8" t="s">
        <v>23</v>
      </c>
      <c r="B14" s="794" t="s">
        <v>24</v>
      </c>
      <c r="C14" s="5" t="s">
        <v>25</v>
      </c>
      <c r="D14" s="5" t="s">
        <v>26</v>
      </c>
      <c r="E14" s="5" t="s">
        <v>837</v>
      </c>
      <c r="F14" s="5" t="s">
        <v>693</v>
      </c>
      <c r="G14" s="578">
        <f t="shared" si="0"/>
        <v>35000</v>
      </c>
      <c r="H14" s="579">
        <f>15000+20000</f>
        <v>35000</v>
      </c>
      <c r="I14" s="579"/>
      <c r="J14" s="580"/>
    </row>
    <row r="15" spans="1:10" ht="51" x14ac:dyDescent="0.2">
      <c r="A15" s="8" t="s">
        <v>23</v>
      </c>
      <c r="B15" s="794" t="s">
        <v>24</v>
      </c>
      <c r="C15" s="5" t="s">
        <v>25</v>
      </c>
      <c r="D15" s="5" t="s">
        <v>26</v>
      </c>
      <c r="E15" s="5" t="s">
        <v>90</v>
      </c>
      <c r="F15" s="5" t="s">
        <v>91</v>
      </c>
      <c r="G15" s="578">
        <f t="shared" si="0"/>
        <v>3360</v>
      </c>
      <c r="H15" s="579">
        <v>3360</v>
      </c>
      <c r="I15" s="579"/>
      <c r="J15" s="580"/>
    </row>
    <row r="16" spans="1:10" ht="53.25" hidden="1" customHeight="1" x14ac:dyDescent="0.2">
      <c r="A16" s="8" t="s">
        <v>27</v>
      </c>
      <c r="B16" s="794" t="s">
        <v>28</v>
      </c>
      <c r="C16" s="5" t="s">
        <v>29</v>
      </c>
      <c r="D16" s="5" t="s">
        <v>30</v>
      </c>
      <c r="E16" s="5" t="s">
        <v>31</v>
      </c>
      <c r="F16" s="5" t="s">
        <v>32</v>
      </c>
      <c r="G16" s="578">
        <f t="shared" si="0"/>
        <v>0</v>
      </c>
      <c r="H16" s="579">
        <f>12000-12000</f>
        <v>0</v>
      </c>
      <c r="I16" s="579">
        <v>0</v>
      </c>
      <c r="J16" s="580">
        <v>0</v>
      </c>
    </row>
    <row r="17" spans="1:10" ht="56.25" hidden="1" customHeight="1" x14ac:dyDescent="0.2">
      <c r="A17" s="8" t="s">
        <v>33</v>
      </c>
      <c r="B17" s="794" t="s">
        <v>34</v>
      </c>
      <c r="C17" s="5" t="s">
        <v>35</v>
      </c>
      <c r="D17" s="5" t="s">
        <v>36</v>
      </c>
      <c r="E17" s="5" t="s">
        <v>31</v>
      </c>
      <c r="F17" s="5" t="s">
        <v>32</v>
      </c>
      <c r="G17" s="578">
        <f t="shared" si="0"/>
        <v>0</v>
      </c>
      <c r="H17" s="579">
        <f>60000-60000</f>
        <v>0</v>
      </c>
      <c r="I17" s="579">
        <f>60000-60000</f>
        <v>0</v>
      </c>
      <c r="J17" s="580">
        <v>0</v>
      </c>
    </row>
    <row r="18" spans="1:10" ht="54.75" customHeight="1" x14ac:dyDescent="0.2">
      <c r="A18" s="8" t="s">
        <v>37</v>
      </c>
      <c r="B18" s="794" t="s">
        <v>38</v>
      </c>
      <c r="C18" s="5" t="s">
        <v>39</v>
      </c>
      <c r="D18" s="5" t="s">
        <v>40</v>
      </c>
      <c r="E18" s="5" t="s">
        <v>31</v>
      </c>
      <c r="F18" s="5" t="s">
        <v>32</v>
      </c>
      <c r="G18" s="578">
        <f t="shared" si="0"/>
        <v>23000</v>
      </c>
      <c r="H18" s="579">
        <v>23000</v>
      </c>
      <c r="I18" s="579">
        <v>0</v>
      </c>
      <c r="J18" s="580">
        <v>0</v>
      </c>
    </row>
    <row r="19" spans="1:10" ht="45" customHeight="1" x14ac:dyDescent="0.2">
      <c r="A19" s="8" t="s">
        <v>41</v>
      </c>
      <c r="B19" s="794" t="s">
        <v>42</v>
      </c>
      <c r="C19" s="5" t="s">
        <v>39</v>
      </c>
      <c r="D19" s="5" t="s">
        <v>43</v>
      </c>
      <c r="E19" s="5" t="s">
        <v>44</v>
      </c>
      <c r="F19" s="5" t="s">
        <v>45</v>
      </c>
      <c r="G19" s="578">
        <f t="shared" si="0"/>
        <v>20000</v>
      </c>
      <c r="H19" s="579">
        <v>20000</v>
      </c>
      <c r="I19" s="579">
        <v>0</v>
      </c>
      <c r="J19" s="580">
        <v>0</v>
      </c>
    </row>
    <row r="20" spans="1:10" ht="51" hidden="1" x14ac:dyDescent="0.2">
      <c r="A20" s="8" t="s">
        <v>46</v>
      </c>
      <c r="B20" s="794" t="s">
        <v>47</v>
      </c>
      <c r="C20" s="5" t="s">
        <v>39</v>
      </c>
      <c r="D20" s="5" t="s">
        <v>48</v>
      </c>
      <c r="E20" s="5" t="s">
        <v>49</v>
      </c>
      <c r="F20" s="5" t="s">
        <v>50</v>
      </c>
      <c r="G20" s="578">
        <f t="shared" si="0"/>
        <v>0</v>
      </c>
      <c r="H20" s="579">
        <f>195000-195000</f>
        <v>0</v>
      </c>
      <c r="I20" s="579">
        <v>0</v>
      </c>
      <c r="J20" s="580">
        <v>0</v>
      </c>
    </row>
    <row r="21" spans="1:10" ht="80.25" hidden="1" customHeight="1" x14ac:dyDescent="0.2">
      <c r="A21" s="8" t="s">
        <v>51</v>
      </c>
      <c r="B21" s="794" t="s">
        <v>52</v>
      </c>
      <c r="C21" s="5" t="s">
        <v>53</v>
      </c>
      <c r="D21" s="5" t="s">
        <v>54</v>
      </c>
      <c r="E21" s="5" t="s">
        <v>31</v>
      </c>
      <c r="F21" s="5" t="s">
        <v>32</v>
      </c>
      <c r="G21" s="578">
        <f t="shared" si="0"/>
        <v>0</v>
      </c>
      <c r="H21" s="579">
        <f>43467-35000-8467</f>
        <v>0</v>
      </c>
      <c r="I21" s="579">
        <v>0</v>
      </c>
      <c r="J21" s="580">
        <v>0</v>
      </c>
    </row>
    <row r="22" spans="1:10" ht="54" hidden="1" customHeight="1" x14ac:dyDescent="0.2">
      <c r="A22" s="8" t="s">
        <v>55</v>
      </c>
      <c r="B22" s="794" t="s">
        <v>56</v>
      </c>
      <c r="C22" s="5" t="s">
        <v>57</v>
      </c>
      <c r="D22" s="5" t="s">
        <v>58</v>
      </c>
      <c r="E22" s="5" t="s">
        <v>31</v>
      </c>
      <c r="F22" s="5" t="s">
        <v>32</v>
      </c>
      <c r="G22" s="578">
        <f t="shared" si="0"/>
        <v>0</v>
      </c>
      <c r="H22" s="579">
        <f>40500-35600-4900</f>
        <v>0</v>
      </c>
      <c r="I22" s="579">
        <v>0</v>
      </c>
      <c r="J22" s="580">
        <v>0</v>
      </c>
    </row>
    <row r="23" spans="1:10" ht="55.5" customHeight="1" x14ac:dyDescent="0.2">
      <c r="A23" s="8" t="s">
        <v>59</v>
      </c>
      <c r="B23" s="794" t="s">
        <v>60</v>
      </c>
      <c r="C23" s="5" t="s">
        <v>61</v>
      </c>
      <c r="D23" s="5" t="s">
        <v>62</v>
      </c>
      <c r="E23" s="5" t="s">
        <v>31</v>
      </c>
      <c r="F23" s="5" t="s">
        <v>32</v>
      </c>
      <c r="G23" s="578">
        <f t="shared" si="0"/>
        <v>331640.76</v>
      </c>
      <c r="H23" s="579">
        <f>300000-249000+249000</f>
        <v>300000</v>
      </c>
      <c r="I23" s="696">
        <v>31640.76</v>
      </c>
      <c r="J23" s="580">
        <v>0</v>
      </c>
    </row>
    <row r="24" spans="1:10" ht="83.25" hidden="1" customHeight="1" x14ac:dyDescent="0.2">
      <c r="A24" s="8" t="s">
        <v>63</v>
      </c>
      <c r="B24" s="794" t="s">
        <v>64</v>
      </c>
      <c r="C24" s="5" t="s">
        <v>65</v>
      </c>
      <c r="D24" s="5" t="s">
        <v>66</v>
      </c>
      <c r="E24" s="5" t="s">
        <v>67</v>
      </c>
      <c r="F24" s="5" t="s">
        <v>68</v>
      </c>
      <c r="G24" s="578">
        <f t="shared" si="0"/>
        <v>0</v>
      </c>
      <c r="H24" s="579">
        <f>100000-100000</f>
        <v>0</v>
      </c>
      <c r="I24" s="579">
        <v>0</v>
      </c>
      <c r="J24" s="580">
        <v>0</v>
      </c>
    </row>
    <row r="25" spans="1:10" ht="51" hidden="1" customHeight="1" x14ac:dyDescent="0.2">
      <c r="A25" s="8" t="s">
        <v>63</v>
      </c>
      <c r="B25" s="794" t="s">
        <v>64</v>
      </c>
      <c r="C25" s="5" t="s">
        <v>65</v>
      </c>
      <c r="D25" s="5" t="s">
        <v>66</v>
      </c>
      <c r="E25" s="5" t="s">
        <v>21</v>
      </c>
      <c r="F25" s="5" t="s">
        <v>22</v>
      </c>
      <c r="G25" s="578">
        <f t="shared" si="0"/>
        <v>0</v>
      </c>
      <c r="H25" s="579">
        <f>70000-70000</f>
        <v>0</v>
      </c>
      <c r="I25" s="579">
        <v>0</v>
      </c>
      <c r="J25" s="580">
        <v>0</v>
      </c>
    </row>
    <row r="26" spans="1:10" ht="38.25" hidden="1" x14ac:dyDescent="0.2">
      <c r="A26" s="8" t="s">
        <v>63</v>
      </c>
      <c r="B26" s="794" t="s">
        <v>64</v>
      </c>
      <c r="C26" s="5" t="s">
        <v>65</v>
      </c>
      <c r="D26" s="5" t="s">
        <v>66</v>
      </c>
      <c r="E26" s="5" t="s">
        <v>31</v>
      </c>
      <c r="F26" s="5" t="s">
        <v>32</v>
      </c>
      <c r="G26" s="578">
        <f t="shared" si="0"/>
        <v>0</v>
      </c>
      <c r="H26" s="579">
        <f>544000-450000-94000</f>
        <v>0</v>
      </c>
      <c r="I26" s="579">
        <v>0</v>
      </c>
      <c r="J26" s="580">
        <v>0</v>
      </c>
    </row>
    <row r="27" spans="1:10" ht="38.25" x14ac:dyDescent="0.2">
      <c r="A27" s="8" t="s">
        <v>69</v>
      </c>
      <c r="B27" s="794" t="s">
        <v>70</v>
      </c>
      <c r="C27" s="5" t="s">
        <v>71</v>
      </c>
      <c r="D27" s="5" t="s">
        <v>72</v>
      </c>
      <c r="E27" s="5" t="s">
        <v>73</v>
      </c>
      <c r="F27" s="5" t="s">
        <v>74</v>
      </c>
      <c r="G27" s="578">
        <f t="shared" si="0"/>
        <v>400000</v>
      </c>
      <c r="H27" s="579">
        <v>400000</v>
      </c>
      <c r="I27" s="579">
        <v>0</v>
      </c>
      <c r="J27" s="580">
        <v>0</v>
      </c>
    </row>
    <row r="28" spans="1:10" ht="38.25" x14ac:dyDescent="0.2">
      <c r="A28" s="8" t="s">
        <v>75</v>
      </c>
      <c r="B28" s="794" t="s">
        <v>76</v>
      </c>
      <c r="C28" s="5" t="s">
        <v>71</v>
      </c>
      <c r="D28" s="5" t="s">
        <v>77</v>
      </c>
      <c r="E28" s="5" t="s">
        <v>73</v>
      </c>
      <c r="F28" s="5" t="s">
        <v>74</v>
      </c>
      <c r="G28" s="578">
        <f t="shared" si="0"/>
        <v>149500</v>
      </c>
      <c r="H28" s="579">
        <v>149500</v>
      </c>
      <c r="I28" s="579">
        <v>0</v>
      </c>
      <c r="J28" s="580">
        <v>0</v>
      </c>
    </row>
    <row r="29" spans="1:10" ht="38.25" x14ac:dyDescent="0.2">
      <c r="A29" s="8" t="s">
        <v>75</v>
      </c>
      <c r="B29" s="794" t="s">
        <v>76</v>
      </c>
      <c r="C29" s="5" t="s">
        <v>71</v>
      </c>
      <c r="D29" s="5" t="s">
        <v>77</v>
      </c>
      <c r="E29" s="5" t="s">
        <v>49</v>
      </c>
      <c r="F29" s="5" t="s">
        <v>50</v>
      </c>
      <c r="G29" s="578">
        <f t="shared" si="0"/>
        <v>0</v>
      </c>
      <c r="H29" s="579">
        <f>24500-24500</f>
        <v>0</v>
      </c>
      <c r="I29" s="579">
        <v>0</v>
      </c>
      <c r="J29" s="580">
        <v>0</v>
      </c>
    </row>
    <row r="30" spans="1:10" ht="38.25" x14ac:dyDescent="0.2">
      <c r="A30" s="8" t="s">
        <v>75</v>
      </c>
      <c r="B30" s="794" t="s">
        <v>76</v>
      </c>
      <c r="C30" s="5" t="s">
        <v>71</v>
      </c>
      <c r="D30" s="5" t="s">
        <v>77</v>
      </c>
      <c r="E30" s="5" t="s">
        <v>21</v>
      </c>
      <c r="F30" s="5" t="s">
        <v>22</v>
      </c>
      <c r="G30" s="578">
        <f t="shared" si="0"/>
        <v>244500</v>
      </c>
      <c r="H30" s="579">
        <v>244500</v>
      </c>
      <c r="I30" s="579">
        <v>0</v>
      </c>
      <c r="J30" s="580">
        <v>0</v>
      </c>
    </row>
    <row r="31" spans="1:10" ht="38.25" x14ac:dyDescent="0.2">
      <c r="A31" s="8" t="s">
        <v>78</v>
      </c>
      <c r="B31" s="794" t="s">
        <v>79</v>
      </c>
      <c r="C31" s="5" t="s">
        <v>80</v>
      </c>
      <c r="D31" s="5" t="s">
        <v>81</v>
      </c>
      <c r="E31" s="5" t="s">
        <v>82</v>
      </c>
      <c r="F31" s="5" t="s">
        <v>83</v>
      </c>
      <c r="G31" s="578">
        <f t="shared" si="0"/>
        <v>891250</v>
      </c>
      <c r="H31" s="579">
        <f>50000+140000+80000+110000+60000+130000+15000+100000+95000+87750</f>
        <v>867750</v>
      </c>
      <c r="I31" s="579">
        <v>23500</v>
      </c>
      <c r="J31" s="580">
        <v>23500</v>
      </c>
    </row>
    <row r="32" spans="1:10" ht="54" customHeight="1" x14ac:dyDescent="0.2">
      <c r="A32" s="8" t="s">
        <v>84</v>
      </c>
      <c r="B32" s="794" t="s">
        <v>85</v>
      </c>
      <c r="C32" s="5" t="s">
        <v>80</v>
      </c>
      <c r="D32" s="5" t="s">
        <v>86</v>
      </c>
      <c r="E32" s="5" t="s">
        <v>21</v>
      </c>
      <c r="F32" s="5" t="s">
        <v>22</v>
      </c>
      <c r="G32" s="578">
        <f t="shared" si="0"/>
        <v>730000</v>
      </c>
      <c r="H32" s="579">
        <v>730000</v>
      </c>
      <c r="I32" s="579">
        <v>0</v>
      </c>
      <c r="J32" s="580">
        <v>0</v>
      </c>
    </row>
    <row r="33" spans="1:10" ht="54" customHeight="1" x14ac:dyDescent="0.2">
      <c r="A33" s="492" t="s">
        <v>592</v>
      </c>
      <c r="B33" s="794">
        <v>6020</v>
      </c>
      <c r="C33" s="5" t="s">
        <v>80</v>
      </c>
      <c r="D33" s="5" t="s">
        <v>663</v>
      </c>
      <c r="E33" s="5" t="s">
        <v>688</v>
      </c>
      <c r="F33" s="5" t="s">
        <v>93</v>
      </c>
      <c r="G33" s="578">
        <f t="shared" si="0"/>
        <v>996843</v>
      </c>
      <c r="H33" s="579">
        <f>86000+130000+55000+129470+100000+153700+161673+181000</f>
        <v>996843</v>
      </c>
      <c r="I33" s="579"/>
      <c r="J33" s="580"/>
    </row>
    <row r="34" spans="1:10" ht="54.75" customHeight="1" x14ac:dyDescent="0.2">
      <c r="A34" s="8" t="s">
        <v>87</v>
      </c>
      <c r="B34" s="794" t="s">
        <v>88</v>
      </c>
      <c r="C34" s="5" t="s">
        <v>80</v>
      </c>
      <c r="D34" s="5" t="s">
        <v>89</v>
      </c>
      <c r="E34" s="5" t="s">
        <v>90</v>
      </c>
      <c r="F34" s="5" t="s">
        <v>91</v>
      </c>
      <c r="G34" s="578">
        <f t="shared" si="0"/>
        <v>331455</v>
      </c>
      <c r="H34" s="579">
        <f>350000-3360-79000-4485</f>
        <v>263155</v>
      </c>
      <c r="I34" s="579">
        <f>79000-10700</f>
        <v>68300</v>
      </c>
      <c r="J34" s="580">
        <f>79000-10700</f>
        <v>68300</v>
      </c>
    </row>
    <row r="35" spans="1:10" ht="51" x14ac:dyDescent="0.2">
      <c r="A35" s="8" t="s">
        <v>87</v>
      </c>
      <c r="B35" s="794" t="s">
        <v>88</v>
      </c>
      <c r="C35" s="5" t="s">
        <v>80</v>
      </c>
      <c r="D35" s="5" t="s">
        <v>89</v>
      </c>
      <c r="E35" s="5" t="s">
        <v>92</v>
      </c>
      <c r="F35" s="5" t="s">
        <v>93</v>
      </c>
      <c r="G35" s="578">
        <f t="shared" si="0"/>
        <v>50000</v>
      </c>
      <c r="H35" s="579">
        <v>50000</v>
      </c>
      <c r="I35" s="579">
        <v>0</v>
      </c>
      <c r="J35" s="580">
        <v>0</v>
      </c>
    </row>
    <row r="36" spans="1:10" ht="51" x14ac:dyDescent="0.2">
      <c r="A36" s="8" t="s">
        <v>87</v>
      </c>
      <c r="B36" s="794" t="s">
        <v>88</v>
      </c>
      <c r="C36" s="5" t="s">
        <v>80</v>
      </c>
      <c r="D36" s="5" t="s">
        <v>89</v>
      </c>
      <c r="E36" s="5" t="s">
        <v>94</v>
      </c>
      <c r="F36" s="5" t="s">
        <v>95</v>
      </c>
      <c r="G36" s="578">
        <f t="shared" si="0"/>
        <v>15000</v>
      </c>
      <c r="H36" s="579">
        <v>15000</v>
      </c>
      <c r="I36" s="579">
        <v>0</v>
      </c>
      <c r="J36" s="580">
        <v>0</v>
      </c>
    </row>
    <row r="37" spans="1:10" ht="38.25" x14ac:dyDescent="0.2">
      <c r="A37" s="8" t="s">
        <v>87</v>
      </c>
      <c r="B37" s="794" t="s">
        <v>88</v>
      </c>
      <c r="C37" s="5" t="s">
        <v>80</v>
      </c>
      <c r="D37" s="5" t="s">
        <v>89</v>
      </c>
      <c r="E37" s="5" t="s">
        <v>21</v>
      </c>
      <c r="F37" s="5" t="s">
        <v>22</v>
      </c>
      <c r="G37" s="578">
        <f t="shared" si="0"/>
        <v>3934895</v>
      </c>
      <c r="H37" s="579">
        <f>3280000+110700+13200+15000+3100+139630+248265</f>
        <v>3809895</v>
      </c>
      <c r="I37" s="579">
        <f>130000-5000</f>
        <v>125000</v>
      </c>
      <c r="J37" s="580">
        <f>130000-5000</f>
        <v>125000</v>
      </c>
    </row>
    <row r="38" spans="1:10" ht="81.75" customHeight="1" x14ac:dyDescent="0.2">
      <c r="A38" s="8" t="s">
        <v>96</v>
      </c>
      <c r="B38" s="794" t="s">
        <v>97</v>
      </c>
      <c r="C38" s="5" t="s">
        <v>98</v>
      </c>
      <c r="D38" s="5" t="s">
        <v>99</v>
      </c>
      <c r="E38" s="5" t="s">
        <v>67</v>
      </c>
      <c r="F38" s="5" t="s">
        <v>68</v>
      </c>
      <c r="G38" s="578">
        <f t="shared" si="0"/>
        <v>20000</v>
      </c>
      <c r="H38" s="579">
        <v>20000</v>
      </c>
      <c r="I38" s="579">
        <v>0</v>
      </c>
      <c r="J38" s="580">
        <v>0</v>
      </c>
    </row>
    <row r="39" spans="1:10" ht="54.75" customHeight="1" x14ac:dyDescent="0.2">
      <c r="A39" s="8" t="s">
        <v>96</v>
      </c>
      <c r="B39" s="794" t="s">
        <v>97</v>
      </c>
      <c r="C39" s="5" t="s">
        <v>98</v>
      </c>
      <c r="D39" s="5" t="s">
        <v>99</v>
      </c>
      <c r="E39" s="5" t="s">
        <v>21</v>
      </c>
      <c r="F39" s="5" t="s">
        <v>22</v>
      </c>
      <c r="G39" s="578">
        <f t="shared" si="0"/>
        <v>580200</v>
      </c>
      <c r="H39" s="579">
        <f>690000-109800</f>
        <v>580200</v>
      </c>
      <c r="I39" s="579">
        <v>0</v>
      </c>
      <c r="J39" s="580">
        <v>0</v>
      </c>
    </row>
    <row r="40" spans="1:10" ht="38.25" x14ac:dyDescent="0.2">
      <c r="A40" s="8" t="s">
        <v>100</v>
      </c>
      <c r="B40" s="794" t="s">
        <v>101</v>
      </c>
      <c r="C40" s="5" t="s">
        <v>102</v>
      </c>
      <c r="D40" s="5" t="s">
        <v>103</v>
      </c>
      <c r="E40" s="5" t="s">
        <v>21</v>
      </c>
      <c r="F40" s="5" t="s">
        <v>22</v>
      </c>
      <c r="G40" s="578">
        <f t="shared" si="0"/>
        <v>100000</v>
      </c>
      <c r="H40" s="579">
        <v>100000</v>
      </c>
      <c r="I40" s="579">
        <v>0</v>
      </c>
      <c r="J40" s="580">
        <v>0</v>
      </c>
    </row>
    <row r="41" spans="1:10" ht="38.25" x14ac:dyDescent="0.2">
      <c r="A41" s="8" t="s">
        <v>420</v>
      </c>
      <c r="B41" s="794">
        <v>7330</v>
      </c>
      <c r="C41" s="5" t="s">
        <v>172</v>
      </c>
      <c r="D41" s="5" t="s">
        <v>422</v>
      </c>
      <c r="E41" s="5" t="s">
        <v>21</v>
      </c>
      <c r="F41" s="5" t="s">
        <v>22</v>
      </c>
      <c r="G41" s="578">
        <f t="shared" si="0"/>
        <v>1686751</v>
      </c>
      <c r="H41" s="579"/>
      <c r="I41" s="579">
        <f>94500+1277991+214260+100000</f>
        <v>1686751</v>
      </c>
      <c r="J41" s="580">
        <f>94500+1277991+214260+100000</f>
        <v>1686751</v>
      </c>
    </row>
    <row r="42" spans="1:10" ht="56.25" customHeight="1" x14ac:dyDescent="0.2">
      <c r="A42" s="8" t="s">
        <v>423</v>
      </c>
      <c r="B42" s="794" t="s">
        <v>424</v>
      </c>
      <c r="C42" s="5" t="s">
        <v>172</v>
      </c>
      <c r="D42" s="5" t="s">
        <v>425</v>
      </c>
      <c r="E42" s="5" t="s">
        <v>21</v>
      </c>
      <c r="F42" s="5" t="s">
        <v>22</v>
      </c>
      <c r="G42" s="578">
        <f t="shared" si="0"/>
        <v>190000</v>
      </c>
      <c r="H42" s="579"/>
      <c r="I42" s="579">
        <v>190000</v>
      </c>
      <c r="J42" s="580">
        <v>190000</v>
      </c>
    </row>
    <row r="43" spans="1:10" ht="56.25" customHeight="1" x14ac:dyDescent="0.2">
      <c r="A43" s="8" t="s">
        <v>550</v>
      </c>
      <c r="B43" s="794" t="s">
        <v>551</v>
      </c>
      <c r="C43" s="5" t="s">
        <v>116</v>
      </c>
      <c r="D43" s="5" t="s">
        <v>563</v>
      </c>
      <c r="E43" s="5" t="s">
        <v>21</v>
      </c>
      <c r="F43" s="5" t="s">
        <v>22</v>
      </c>
      <c r="G43" s="578">
        <f t="shared" si="0"/>
        <v>1048631</v>
      </c>
      <c r="H43" s="579"/>
      <c r="I43" s="579">
        <f>2000000-539696-236673-175000</f>
        <v>1048631</v>
      </c>
      <c r="J43" s="580">
        <f>2000000-539696-236673-175000</f>
        <v>1048631</v>
      </c>
    </row>
    <row r="44" spans="1:10" ht="54" customHeight="1" x14ac:dyDescent="0.2">
      <c r="A44" s="8" t="s">
        <v>104</v>
      </c>
      <c r="B44" s="794" t="s">
        <v>105</v>
      </c>
      <c r="C44" s="5" t="s">
        <v>106</v>
      </c>
      <c r="D44" s="5" t="s">
        <v>107</v>
      </c>
      <c r="E44" s="5" t="s">
        <v>21</v>
      </c>
      <c r="F44" s="5" t="s">
        <v>22</v>
      </c>
      <c r="G44" s="578">
        <f t="shared" si="0"/>
        <v>246008</v>
      </c>
      <c r="H44" s="579">
        <f>2545003-873200-9000+840000-1121825-791540-55000-141415-322015</f>
        <v>71008</v>
      </c>
      <c r="I44" s="579">
        <v>175000</v>
      </c>
      <c r="J44" s="580">
        <v>175000</v>
      </c>
    </row>
    <row r="45" spans="1:10" ht="54" customHeight="1" x14ac:dyDescent="0.2">
      <c r="A45" s="8" t="s">
        <v>870</v>
      </c>
      <c r="B45" s="794" t="s">
        <v>871</v>
      </c>
      <c r="C45" s="5" t="s">
        <v>872</v>
      </c>
      <c r="D45" s="5" t="s">
        <v>873</v>
      </c>
      <c r="E45" s="5" t="s">
        <v>21</v>
      </c>
      <c r="F45" s="5" t="s">
        <v>22</v>
      </c>
      <c r="G45" s="578">
        <f t="shared" si="0"/>
        <v>1254375</v>
      </c>
      <c r="H45" s="579">
        <v>1254375</v>
      </c>
      <c r="I45" s="579"/>
      <c r="J45" s="580"/>
    </row>
    <row r="46" spans="1:10" ht="54" customHeight="1" x14ac:dyDescent="0.2">
      <c r="A46" s="8"/>
      <c r="B46" s="794"/>
      <c r="C46" s="5"/>
      <c r="D46" s="5" t="s">
        <v>894</v>
      </c>
      <c r="E46" s="5"/>
      <c r="F46" s="5"/>
      <c r="G46" s="578">
        <f>H46+I46</f>
        <v>1254375</v>
      </c>
      <c r="H46" s="579">
        <v>1254375</v>
      </c>
      <c r="I46" s="579"/>
      <c r="J46" s="580"/>
    </row>
    <row r="47" spans="1:10" ht="51" x14ac:dyDescent="0.2">
      <c r="A47" s="8" t="s">
        <v>108</v>
      </c>
      <c r="B47" s="794" t="s">
        <v>109</v>
      </c>
      <c r="C47" s="5" t="s">
        <v>110</v>
      </c>
      <c r="D47" s="5" t="s">
        <v>111</v>
      </c>
      <c r="E47" s="5" t="s">
        <v>112</v>
      </c>
      <c r="F47" s="5" t="s">
        <v>113</v>
      </c>
      <c r="G47" s="578">
        <f t="shared" si="0"/>
        <v>2000</v>
      </c>
      <c r="H47" s="579">
        <v>2000</v>
      </c>
      <c r="I47" s="579">
        <v>0</v>
      </c>
      <c r="J47" s="580">
        <v>0</v>
      </c>
    </row>
    <row r="48" spans="1:10" ht="38.25" x14ac:dyDescent="0.2">
      <c r="A48" s="8" t="s">
        <v>114</v>
      </c>
      <c r="B48" s="794" t="s">
        <v>115</v>
      </c>
      <c r="C48" s="5" t="s">
        <v>116</v>
      </c>
      <c r="D48" s="5" t="s">
        <v>117</v>
      </c>
      <c r="E48" s="5" t="s">
        <v>21</v>
      </c>
      <c r="F48" s="5" t="s">
        <v>22</v>
      </c>
      <c r="G48" s="578">
        <f t="shared" si="0"/>
        <v>50000</v>
      </c>
      <c r="H48" s="579">
        <v>0</v>
      </c>
      <c r="I48" s="579">
        <v>50000</v>
      </c>
      <c r="J48" s="580">
        <v>50000</v>
      </c>
    </row>
    <row r="49" spans="1:10" ht="51" x14ac:dyDescent="0.2">
      <c r="A49" s="8" t="s">
        <v>118</v>
      </c>
      <c r="B49" s="794" t="s">
        <v>119</v>
      </c>
      <c r="C49" s="5" t="s">
        <v>116</v>
      </c>
      <c r="D49" s="5" t="s">
        <v>120</v>
      </c>
      <c r="E49" s="5" t="s">
        <v>21</v>
      </c>
      <c r="F49" s="5" t="s">
        <v>22</v>
      </c>
      <c r="G49" s="578">
        <f t="shared" si="0"/>
        <v>50000</v>
      </c>
      <c r="H49" s="579">
        <v>0</v>
      </c>
      <c r="I49" s="579">
        <v>50000</v>
      </c>
      <c r="J49" s="580">
        <v>50000</v>
      </c>
    </row>
    <row r="50" spans="1:10" ht="38.25" x14ac:dyDescent="0.2">
      <c r="A50" s="8" t="s">
        <v>121</v>
      </c>
      <c r="B50" s="794" t="s">
        <v>122</v>
      </c>
      <c r="C50" s="5" t="s">
        <v>116</v>
      </c>
      <c r="D50" s="5" t="s">
        <v>123</v>
      </c>
      <c r="E50" s="5" t="s">
        <v>21</v>
      </c>
      <c r="F50" s="5" t="s">
        <v>22</v>
      </c>
      <c r="G50" s="578">
        <f t="shared" si="0"/>
        <v>52000</v>
      </c>
      <c r="H50" s="579">
        <v>52000</v>
      </c>
      <c r="I50" s="579">
        <v>0</v>
      </c>
      <c r="J50" s="580">
        <v>0</v>
      </c>
    </row>
    <row r="51" spans="1:10" ht="38.25" x14ac:dyDescent="0.2">
      <c r="A51" s="8" t="s">
        <v>820</v>
      </c>
      <c r="B51" s="794" t="s">
        <v>828</v>
      </c>
      <c r="C51" s="5" t="s">
        <v>116</v>
      </c>
      <c r="D51" s="5" t="s">
        <v>829</v>
      </c>
      <c r="E51" s="5" t="s">
        <v>21</v>
      </c>
      <c r="F51" s="5" t="s">
        <v>22</v>
      </c>
      <c r="G51" s="578">
        <f t="shared" si="0"/>
        <v>74000</v>
      </c>
      <c r="H51" s="579">
        <f>49000+25000</f>
        <v>74000</v>
      </c>
      <c r="I51" s="579">
        <v>0</v>
      </c>
      <c r="J51" s="580">
        <v>0</v>
      </c>
    </row>
    <row r="52" spans="1:10" ht="51" x14ac:dyDescent="0.2">
      <c r="A52" s="8" t="s">
        <v>124</v>
      </c>
      <c r="B52" s="794" t="s">
        <v>125</v>
      </c>
      <c r="C52" s="5" t="s">
        <v>126</v>
      </c>
      <c r="D52" s="5" t="s">
        <v>127</v>
      </c>
      <c r="E52" s="5" t="s">
        <v>729</v>
      </c>
      <c r="F52" s="5" t="s">
        <v>95</v>
      </c>
      <c r="G52" s="578">
        <f t="shared" si="0"/>
        <v>125691</v>
      </c>
      <c r="H52" s="579">
        <f>150000+20000+691-45000</f>
        <v>125691</v>
      </c>
      <c r="I52" s="579">
        <v>0</v>
      </c>
      <c r="J52" s="580">
        <v>0</v>
      </c>
    </row>
    <row r="53" spans="1:10" ht="76.5" x14ac:dyDescent="0.2">
      <c r="A53" s="8" t="s">
        <v>128</v>
      </c>
      <c r="B53" s="794" t="s">
        <v>129</v>
      </c>
      <c r="C53" s="5" t="s">
        <v>126</v>
      </c>
      <c r="D53" s="5" t="s">
        <v>130</v>
      </c>
      <c r="E53" s="5" t="s">
        <v>131</v>
      </c>
      <c r="F53" s="5" t="s">
        <v>132</v>
      </c>
      <c r="G53" s="578">
        <f t="shared" si="0"/>
        <v>9000</v>
      </c>
      <c r="H53" s="579">
        <v>9000</v>
      </c>
      <c r="I53" s="579">
        <v>0</v>
      </c>
      <c r="J53" s="580">
        <v>0</v>
      </c>
    </row>
    <row r="54" spans="1:10" ht="38.25" x14ac:dyDescent="0.2">
      <c r="A54" s="8" t="s">
        <v>133</v>
      </c>
      <c r="B54" s="794" t="s">
        <v>134</v>
      </c>
      <c r="C54" s="5" t="s">
        <v>135</v>
      </c>
      <c r="D54" s="5" t="s">
        <v>136</v>
      </c>
      <c r="E54" s="5" t="s">
        <v>21</v>
      </c>
      <c r="F54" s="5" t="s">
        <v>22</v>
      </c>
      <c r="G54" s="578">
        <f t="shared" si="0"/>
        <v>130763.42</v>
      </c>
      <c r="H54" s="579">
        <v>0</v>
      </c>
      <c r="I54" s="579">
        <f>79300+51463.42</f>
        <v>130763.42</v>
      </c>
      <c r="J54" s="580">
        <v>0</v>
      </c>
    </row>
    <row r="55" spans="1:10" ht="38.25" x14ac:dyDescent="0.2">
      <c r="A55" s="8" t="s">
        <v>137</v>
      </c>
      <c r="B55" s="794" t="s">
        <v>138</v>
      </c>
      <c r="C55" s="5" t="s">
        <v>139</v>
      </c>
      <c r="D55" s="5" t="s">
        <v>140</v>
      </c>
      <c r="E55" s="5" t="s">
        <v>21</v>
      </c>
      <c r="F55" s="5" t="s">
        <v>22</v>
      </c>
      <c r="G55" s="578">
        <f t="shared" si="0"/>
        <v>150000</v>
      </c>
      <c r="H55" s="579">
        <v>150000</v>
      </c>
      <c r="I55" s="579">
        <v>0</v>
      </c>
      <c r="J55" s="580">
        <v>0</v>
      </c>
    </row>
    <row r="56" spans="1:10" x14ac:dyDescent="0.2">
      <c r="A56" s="8"/>
      <c r="B56" s="794"/>
      <c r="C56" s="5"/>
      <c r="D56" s="5"/>
      <c r="E56" s="5"/>
      <c r="F56" s="5"/>
      <c r="G56" s="578"/>
      <c r="H56" s="579"/>
      <c r="I56" s="579"/>
      <c r="J56" s="580"/>
    </row>
    <row r="57" spans="1:10" ht="34.9" customHeight="1" x14ac:dyDescent="0.2">
      <c r="A57" s="7" t="s">
        <v>141</v>
      </c>
      <c r="B57" s="4" t="s">
        <v>16</v>
      </c>
      <c r="C57" s="4" t="s">
        <v>16</v>
      </c>
      <c r="D57" s="4" t="s">
        <v>142</v>
      </c>
      <c r="E57" s="4" t="s">
        <v>16</v>
      </c>
      <c r="F57" s="4" t="s">
        <v>16</v>
      </c>
      <c r="G57" s="577">
        <f>SUM(G58:G72)</f>
        <v>4523540.22</v>
      </c>
      <c r="H57" s="577">
        <f t="shared" ref="H57:J57" si="1">SUM(H58:H72)</f>
        <v>2152272.2200000002</v>
      </c>
      <c r="I57" s="577">
        <f t="shared" si="1"/>
        <v>2371268</v>
      </c>
      <c r="J57" s="577">
        <f t="shared" si="1"/>
        <v>544066</v>
      </c>
    </row>
    <row r="58" spans="1:10" ht="42.75" customHeight="1" x14ac:dyDescent="0.2">
      <c r="A58" s="8" t="s">
        <v>143</v>
      </c>
      <c r="B58" s="794" t="s">
        <v>53</v>
      </c>
      <c r="C58" s="5" t="s">
        <v>144</v>
      </c>
      <c r="D58" s="5" t="s">
        <v>145</v>
      </c>
      <c r="E58" s="5" t="s">
        <v>49</v>
      </c>
      <c r="F58" s="5" t="s">
        <v>50</v>
      </c>
      <c r="G58" s="578">
        <f t="shared" si="0"/>
        <v>750000</v>
      </c>
      <c r="H58" s="579">
        <v>500000</v>
      </c>
      <c r="I58" s="579">
        <v>250000</v>
      </c>
      <c r="J58" s="580">
        <v>0</v>
      </c>
    </row>
    <row r="59" spans="1:10" ht="57.75" customHeight="1" x14ac:dyDescent="0.2">
      <c r="A59" s="8" t="s">
        <v>143</v>
      </c>
      <c r="B59" s="794" t="s">
        <v>53</v>
      </c>
      <c r="C59" s="5" t="s">
        <v>144</v>
      </c>
      <c r="D59" s="5" t="s">
        <v>145</v>
      </c>
      <c r="E59" s="5" t="s">
        <v>21</v>
      </c>
      <c r="F59" s="5" t="s">
        <v>22</v>
      </c>
      <c r="G59" s="578">
        <f t="shared" si="0"/>
        <v>1538334</v>
      </c>
      <c r="H59" s="579">
        <f>155000+3600+10212</f>
        <v>168812</v>
      </c>
      <c r="I59" s="579">
        <v>1369522</v>
      </c>
      <c r="J59" s="580" t="s">
        <v>496</v>
      </c>
    </row>
    <row r="60" spans="1:10" ht="41.25" customHeight="1" x14ac:dyDescent="0.2">
      <c r="A60" s="8" t="s">
        <v>146</v>
      </c>
      <c r="B60" s="794" t="s">
        <v>147</v>
      </c>
      <c r="C60" s="5" t="s">
        <v>148</v>
      </c>
      <c r="D60" s="5" t="s">
        <v>149</v>
      </c>
      <c r="E60" s="5" t="s">
        <v>49</v>
      </c>
      <c r="F60" s="5" t="s">
        <v>50</v>
      </c>
      <c r="G60" s="578">
        <f t="shared" si="0"/>
        <v>0</v>
      </c>
      <c r="H60" s="579">
        <f>300000-300000</f>
        <v>0</v>
      </c>
      <c r="I60" s="579">
        <v>0</v>
      </c>
      <c r="J60" s="580">
        <v>0</v>
      </c>
    </row>
    <row r="61" spans="1:10" ht="38.25" x14ac:dyDescent="0.2">
      <c r="A61" s="8" t="s">
        <v>146</v>
      </c>
      <c r="B61" s="794" t="s">
        <v>147</v>
      </c>
      <c r="C61" s="5" t="s">
        <v>148</v>
      </c>
      <c r="D61" s="5" t="s">
        <v>149</v>
      </c>
      <c r="E61" s="5" t="s">
        <v>21</v>
      </c>
      <c r="F61" s="5" t="s">
        <v>22</v>
      </c>
      <c r="G61" s="578">
        <f t="shared" si="0"/>
        <v>681442</v>
      </c>
      <c r="H61" s="579">
        <f>195000+20000+82342</f>
        <v>297342</v>
      </c>
      <c r="I61" s="579">
        <f>197600+175000+11500</f>
        <v>384100</v>
      </c>
      <c r="J61" s="580">
        <f>175000+11500</f>
        <v>186500</v>
      </c>
    </row>
    <row r="62" spans="1:10" ht="38.25" x14ac:dyDescent="0.2">
      <c r="A62" s="8" t="s">
        <v>150</v>
      </c>
      <c r="B62" s="794" t="s">
        <v>29</v>
      </c>
      <c r="C62" s="5" t="s">
        <v>151</v>
      </c>
      <c r="D62" s="5" t="s">
        <v>152</v>
      </c>
      <c r="E62" s="5" t="s">
        <v>49</v>
      </c>
      <c r="F62" s="5" t="s">
        <v>50</v>
      </c>
      <c r="G62" s="578">
        <f t="shared" si="0"/>
        <v>0</v>
      </c>
      <c r="H62" s="579">
        <f>40000+3600-43600</f>
        <v>0</v>
      </c>
      <c r="I62" s="579">
        <v>0</v>
      </c>
      <c r="J62" s="580">
        <v>0</v>
      </c>
    </row>
    <row r="63" spans="1:10" ht="38.25" x14ac:dyDescent="0.2">
      <c r="A63" s="8" t="s">
        <v>150</v>
      </c>
      <c r="B63" s="794" t="s">
        <v>29</v>
      </c>
      <c r="C63" s="5" t="s">
        <v>151</v>
      </c>
      <c r="D63" s="5" t="s">
        <v>152</v>
      </c>
      <c r="E63" s="5" t="s">
        <v>21</v>
      </c>
      <c r="F63" s="5" t="s">
        <v>22</v>
      </c>
      <c r="G63" s="578">
        <f t="shared" si="0"/>
        <v>11540</v>
      </c>
      <c r="H63" s="579">
        <v>1460</v>
      </c>
      <c r="I63" s="579">
        <v>10080</v>
      </c>
      <c r="J63" s="580">
        <v>0</v>
      </c>
    </row>
    <row r="64" spans="1:10" ht="54" customHeight="1" x14ac:dyDescent="0.2">
      <c r="A64" s="8" t="s">
        <v>153</v>
      </c>
      <c r="B64" s="794" t="s">
        <v>154</v>
      </c>
      <c r="C64" s="5" t="s">
        <v>155</v>
      </c>
      <c r="D64" s="5" t="s">
        <v>156</v>
      </c>
      <c r="E64" s="5" t="s">
        <v>21</v>
      </c>
      <c r="F64" s="5" t="s">
        <v>22</v>
      </c>
      <c r="G64" s="578">
        <f t="shared" si="0"/>
        <v>27482</v>
      </c>
      <c r="H64" s="579">
        <v>27482</v>
      </c>
      <c r="I64" s="579"/>
      <c r="J64" s="580"/>
    </row>
    <row r="65" spans="1:11" ht="42" customHeight="1" x14ac:dyDescent="0.2">
      <c r="A65" s="8" t="s">
        <v>157</v>
      </c>
      <c r="B65" s="794" t="s">
        <v>158</v>
      </c>
      <c r="C65" s="5" t="s">
        <v>155</v>
      </c>
      <c r="D65" s="5" t="s">
        <v>159</v>
      </c>
      <c r="E65" s="5" t="s">
        <v>44</v>
      </c>
      <c r="F65" s="5" t="s">
        <v>45</v>
      </c>
      <c r="G65" s="578">
        <f t="shared" si="0"/>
        <v>156988</v>
      </c>
      <c r="H65" s="579">
        <f>155178+1810</f>
        <v>156988</v>
      </c>
      <c r="I65" s="579">
        <v>0</v>
      </c>
      <c r="J65" s="580">
        <v>0</v>
      </c>
    </row>
    <row r="66" spans="1:11" ht="55.5" customHeight="1" x14ac:dyDescent="0.2">
      <c r="A66" s="8" t="s">
        <v>157</v>
      </c>
      <c r="B66" s="794" t="s">
        <v>158</v>
      </c>
      <c r="C66" s="5" t="s">
        <v>155</v>
      </c>
      <c r="D66" s="5" t="s">
        <v>159</v>
      </c>
      <c r="E66" s="5" t="s">
        <v>21</v>
      </c>
      <c r="F66" s="5" t="s">
        <v>22</v>
      </c>
      <c r="G66" s="578">
        <f t="shared" si="0"/>
        <v>300000</v>
      </c>
      <c r="H66" s="579">
        <v>300000</v>
      </c>
      <c r="I66" s="579">
        <v>0</v>
      </c>
      <c r="J66" s="580">
        <v>0</v>
      </c>
    </row>
    <row r="67" spans="1:11" ht="55.5" customHeight="1" x14ac:dyDescent="0.2">
      <c r="A67" s="8" t="s">
        <v>927</v>
      </c>
      <c r="B67" s="799" t="s">
        <v>941</v>
      </c>
      <c r="C67" s="5" t="s">
        <v>155</v>
      </c>
      <c r="D67" s="5" t="s">
        <v>943</v>
      </c>
      <c r="E67" s="5" t="s">
        <v>21</v>
      </c>
      <c r="F67" s="5" t="s">
        <v>22</v>
      </c>
      <c r="G67" s="578">
        <f t="shared" si="0"/>
        <v>99500</v>
      </c>
      <c r="H67" s="579">
        <v>0</v>
      </c>
      <c r="I67" s="579">
        <v>99500</v>
      </c>
      <c r="J67" s="579">
        <v>99500</v>
      </c>
    </row>
    <row r="68" spans="1:11" ht="63.75" x14ac:dyDescent="0.2">
      <c r="A68" s="8" t="s">
        <v>883</v>
      </c>
      <c r="B68" s="799" t="s">
        <v>891</v>
      </c>
      <c r="C68" s="5" t="s">
        <v>155</v>
      </c>
      <c r="D68" s="5" t="s">
        <v>892</v>
      </c>
      <c r="E68" s="5" t="s">
        <v>21</v>
      </c>
      <c r="F68" s="5" t="s">
        <v>22</v>
      </c>
      <c r="G68" s="578">
        <f t="shared" si="0"/>
        <v>212753</v>
      </c>
      <c r="H68" s="579">
        <v>212753</v>
      </c>
      <c r="I68" s="579">
        <v>0</v>
      </c>
      <c r="J68" s="580">
        <v>0</v>
      </c>
    </row>
    <row r="69" spans="1:11" ht="55.5" customHeight="1" x14ac:dyDescent="0.2">
      <c r="A69" s="8" t="s">
        <v>455</v>
      </c>
      <c r="B69" s="794" t="s">
        <v>456</v>
      </c>
      <c r="C69" s="5" t="s">
        <v>155</v>
      </c>
      <c r="D69" s="5" t="s">
        <v>457</v>
      </c>
      <c r="E69" s="5" t="s">
        <v>21</v>
      </c>
      <c r="F69" s="5" t="s">
        <v>22</v>
      </c>
      <c r="G69" s="578">
        <f>H69+I69</f>
        <v>619585</v>
      </c>
      <c r="H69" s="790">
        <v>411019</v>
      </c>
      <c r="I69" s="579">
        <v>208566</v>
      </c>
      <c r="J69" s="580">
        <v>208566</v>
      </c>
    </row>
    <row r="70" spans="1:11" ht="55.5" customHeight="1" x14ac:dyDescent="0.2">
      <c r="A70" s="8" t="s">
        <v>896</v>
      </c>
      <c r="B70" s="794" t="s">
        <v>897</v>
      </c>
      <c r="C70" s="5" t="s">
        <v>155</v>
      </c>
      <c r="D70" s="5" t="s">
        <v>895</v>
      </c>
      <c r="E70" s="5" t="s">
        <v>21</v>
      </c>
      <c r="F70" s="5" t="s">
        <v>22</v>
      </c>
      <c r="G70" s="791">
        <f>H70+I70</f>
        <v>76416.22</v>
      </c>
      <c r="H70" s="790">
        <v>76416.22</v>
      </c>
      <c r="I70" s="579"/>
      <c r="J70" s="580"/>
    </row>
    <row r="71" spans="1:11" ht="66.75" hidden="1" customHeight="1" x14ac:dyDescent="0.2">
      <c r="A71" s="8" t="s">
        <v>160</v>
      </c>
      <c r="B71" s="794" t="s">
        <v>47</v>
      </c>
      <c r="C71" s="5" t="s">
        <v>39</v>
      </c>
      <c r="D71" s="5" t="s">
        <v>48</v>
      </c>
      <c r="E71" s="5" t="s">
        <v>49</v>
      </c>
      <c r="F71" s="5" t="s">
        <v>50</v>
      </c>
      <c r="G71" s="578">
        <f t="shared" si="0"/>
        <v>0</v>
      </c>
      <c r="H71" s="579">
        <f>195000-195000</f>
        <v>0</v>
      </c>
      <c r="I71" s="579">
        <v>0</v>
      </c>
      <c r="J71" s="580">
        <v>0</v>
      </c>
    </row>
    <row r="72" spans="1:11" ht="38.25" x14ac:dyDescent="0.2">
      <c r="A72" s="8" t="s">
        <v>556</v>
      </c>
      <c r="B72" s="794" t="s">
        <v>557</v>
      </c>
      <c r="C72" s="5" t="s">
        <v>172</v>
      </c>
      <c r="D72" s="5" t="s">
        <v>558</v>
      </c>
      <c r="E72" s="5" t="s">
        <v>21</v>
      </c>
      <c r="F72" s="5" t="s">
        <v>22</v>
      </c>
      <c r="G72" s="578">
        <f t="shared" si="0"/>
        <v>49500</v>
      </c>
      <c r="H72" s="579">
        <f>195000-195000</f>
        <v>0</v>
      </c>
      <c r="I72" s="579">
        <v>49500</v>
      </c>
      <c r="J72" s="580">
        <v>49500</v>
      </c>
    </row>
    <row r="73" spans="1:11" ht="34.15" customHeight="1" x14ac:dyDescent="0.2">
      <c r="A73" s="7" t="s">
        <v>666</v>
      </c>
      <c r="B73" s="616"/>
      <c r="C73" s="4"/>
      <c r="D73" s="4" t="s">
        <v>667</v>
      </c>
      <c r="E73" s="5"/>
      <c r="F73" s="780"/>
      <c r="G73" s="805">
        <f t="shared" ref="G73:H73" si="2">SUM(G75:G88)-G76-G78</f>
        <v>12256909.149999999</v>
      </c>
      <c r="H73" s="805">
        <f t="shared" si="2"/>
        <v>9815905.1500000004</v>
      </c>
      <c r="I73" s="805">
        <f>SUM(I75:I88)-I76-I78</f>
        <v>2441004</v>
      </c>
      <c r="J73" s="805">
        <f t="shared" ref="J73" si="3">SUM(J75:J88)-J76-J78</f>
        <v>2381004</v>
      </c>
    </row>
    <row r="74" spans="1:11" ht="25.5" hidden="1" customHeight="1" x14ac:dyDescent="0.2">
      <c r="A74" s="8"/>
      <c r="B74" s="794"/>
      <c r="C74" s="5"/>
      <c r="D74" s="5" t="s">
        <v>399</v>
      </c>
      <c r="E74" s="5"/>
      <c r="F74" s="5"/>
      <c r="G74" s="578">
        <f t="shared" si="0"/>
        <v>0</v>
      </c>
      <c r="H74" s="579"/>
      <c r="I74" s="579"/>
      <c r="J74" s="580"/>
    </row>
    <row r="75" spans="1:11" ht="106.5" customHeight="1" x14ac:dyDescent="0.2">
      <c r="A75" s="8" t="s">
        <v>631</v>
      </c>
      <c r="B75" s="794" t="s">
        <v>391</v>
      </c>
      <c r="C75" s="5" t="s">
        <v>392</v>
      </c>
      <c r="D75" s="5" t="s">
        <v>393</v>
      </c>
      <c r="E75" s="5" t="s">
        <v>671</v>
      </c>
      <c r="F75" s="5" t="s">
        <v>672</v>
      </c>
      <c r="G75" s="578">
        <f t="shared" si="0"/>
        <v>7470673.1500000004</v>
      </c>
      <c r="H75" s="579">
        <f>3645000+240000+245669.15+9000+350000+1000000-400000</f>
        <v>5089669.1500000004</v>
      </c>
      <c r="I75" s="579">
        <f>1259179+1121825</f>
        <v>2381004</v>
      </c>
      <c r="J75" s="580">
        <f>1259179+1121825</f>
        <v>2381004</v>
      </c>
      <c r="K75" s="493">
        <f>H75-H76</f>
        <v>3249669.1500000004</v>
      </c>
    </row>
    <row r="76" spans="1:11" ht="30.75" customHeight="1" x14ac:dyDescent="0.2">
      <c r="A76" s="8"/>
      <c r="B76" s="794"/>
      <c r="C76" s="5"/>
      <c r="D76" s="5" t="s">
        <v>399</v>
      </c>
      <c r="E76" s="3"/>
      <c r="F76" s="780"/>
      <c r="G76" s="578">
        <f t="shared" si="0"/>
        <v>3099179</v>
      </c>
      <c r="H76" s="579">
        <f>1000000+240000+1000000-400000</f>
        <v>1840000</v>
      </c>
      <c r="I76" s="579">
        <v>1259179</v>
      </c>
      <c r="J76" s="580">
        <v>1259179</v>
      </c>
      <c r="K76" s="1">
        <v>4139669.15</v>
      </c>
    </row>
    <row r="77" spans="1:11" ht="110.25" customHeight="1" x14ac:dyDescent="0.2">
      <c r="A77" s="492" t="s">
        <v>632</v>
      </c>
      <c r="B77" s="794" t="s">
        <v>394</v>
      </c>
      <c r="C77" s="5" t="s">
        <v>395</v>
      </c>
      <c r="D77" s="5" t="s">
        <v>396</v>
      </c>
      <c r="E77" s="5" t="s">
        <v>671</v>
      </c>
      <c r="F77" s="5" t="s">
        <v>672</v>
      </c>
      <c r="G77" s="578">
        <f t="shared" si="0"/>
        <v>3436269</v>
      </c>
      <c r="H77" s="579">
        <f>2449300+15000+187000+301509+7685+96921+225854+103000+50000</f>
        <v>3436269</v>
      </c>
      <c r="I77" s="579"/>
      <c r="J77" s="580"/>
      <c r="K77" s="493">
        <f>K75+1121825</f>
        <v>4371494.1500000004</v>
      </c>
    </row>
    <row r="78" spans="1:11" ht="28.5" customHeight="1" x14ac:dyDescent="0.2">
      <c r="A78" s="8"/>
      <c r="B78" s="794"/>
      <c r="C78" s="5"/>
      <c r="D78" s="5" t="s">
        <v>399</v>
      </c>
      <c r="E78" s="780"/>
      <c r="F78" s="5"/>
      <c r="G78" s="578">
        <f t="shared" si="0"/>
        <v>2393839</v>
      </c>
      <c r="H78" s="579">
        <f>1855300+15000+187000+7685+225854+103000</f>
        <v>2393839</v>
      </c>
      <c r="I78" s="579"/>
      <c r="J78" s="580"/>
      <c r="K78" s="493">
        <f>H77-H78</f>
        <v>1042430</v>
      </c>
    </row>
    <row r="79" spans="1:11" ht="38.25" x14ac:dyDescent="0.2">
      <c r="A79" s="492" t="s">
        <v>722</v>
      </c>
      <c r="B79" s="794" t="s">
        <v>28</v>
      </c>
      <c r="C79" s="5" t="s">
        <v>29</v>
      </c>
      <c r="D79" s="5" t="s">
        <v>30</v>
      </c>
      <c r="E79" s="5" t="s">
        <v>31</v>
      </c>
      <c r="F79" s="5" t="s">
        <v>32</v>
      </c>
      <c r="G79" s="578">
        <f t="shared" si="0"/>
        <v>12000</v>
      </c>
      <c r="H79" s="579">
        <v>12000</v>
      </c>
      <c r="I79" s="579">
        <v>0</v>
      </c>
      <c r="J79" s="580">
        <v>0</v>
      </c>
      <c r="K79" s="493">
        <f>K77+K78</f>
        <v>5413924.1500000004</v>
      </c>
    </row>
    <row r="80" spans="1:11" ht="51" x14ac:dyDescent="0.2">
      <c r="A80" s="492" t="s">
        <v>720</v>
      </c>
      <c r="B80" s="794" t="s">
        <v>34</v>
      </c>
      <c r="C80" s="5" t="s">
        <v>35</v>
      </c>
      <c r="D80" s="5" t="s">
        <v>36</v>
      </c>
      <c r="E80" s="5" t="s">
        <v>31</v>
      </c>
      <c r="F80" s="5" t="s">
        <v>32</v>
      </c>
      <c r="G80" s="578">
        <f t="shared" si="0"/>
        <v>120000</v>
      </c>
      <c r="H80" s="579">
        <v>60000</v>
      </c>
      <c r="I80" s="579">
        <v>60000</v>
      </c>
      <c r="J80" s="580">
        <v>0</v>
      </c>
      <c r="K80" s="493">
        <f>G76+G78</f>
        <v>5493018</v>
      </c>
    </row>
    <row r="81" spans="1:10" ht="51" x14ac:dyDescent="0.2">
      <c r="A81" s="492" t="s">
        <v>723</v>
      </c>
      <c r="B81" s="794" t="s">
        <v>47</v>
      </c>
      <c r="C81" s="5" t="s">
        <v>39</v>
      </c>
      <c r="D81" s="5" t="s">
        <v>48</v>
      </c>
      <c r="E81" s="5" t="s">
        <v>49</v>
      </c>
      <c r="F81" s="5" t="s">
        <v>50</v>
      </c>
      <c r="G81" s="578">
        <f t="shared" si="0"/>
        <v>195000</v>
      </c>
      <c r="H81" s="579">
        <f>195000+195000-195000</f>
        <v>195000</v>
      </c>
      <c r="I81" s="579">
        <v>0</v>
      </c>
      <c r="J81" s="580">
        <v>0</v>
      </c>
    </row>
    <row r="82" spans="1:10" ht="63.75" x14ac:dyDescent="0.2">
      <c r="A82" s="643" t="s">
        <v>724</v>
      </c>
      <c r="B82" s="794" t="s">
        <v>52</v>
      </c>
      <c r="C82" s="5" t="s">
        <v>53</v>
      </c>
      <c r="D82" s="5" t="s">
        <v>54</v>
      </c>
      <c r="E82" s="5" t="s">
        <v>31</v>
      </c>
      <c r="F82" s="5" t="s">
        <v>32</v>
      </c>
      <c r="G82" s="578">
        <f t="shared" si="0"/>
        <v>98467</v>
      </c>
      <c r="H82" s="579">
        <f>35000+8467+55000</f>
        <v>98467</v>
      </c>
      <c r="I82" s="579">
        <v>0</v>
      </c>
      <c r="J82" s="580">
        <v>0</v>
      </c>
    </row>
    <row r="83" spans="1:10" ht="38.25" x14ac:dyDescent="0.2">
      <c r="A83" s="643" t="s">
        <v>725</v>
      </c>
      <c r="B83" s="794" t="s">
        <v>56</v>
      </c>
      <c r="C83" s="5" t="s">
        <v>57</v>
      </c>
      <c r="D83" s="5" t="s">
        <v>58</v>
      </c>
      <c r="E83" s="5" t="s">
        <v>31</v>
      </c>
      <c r="F83" s="5" t="s">
        <v>32</v>
      </c>
      <c r="G83" s="578">
        <f t="shared" si="0"/>
        <v>40500</v>
      </c>
      <c r="H83" s="579">
        <f>35600+4900</f>
        <v>40500</v>
      </c>
      <c r="I83" s="579">
        <v>0</v>
      </c>
      <c r="J83" s="580">
        <v>0</v>
      </c>
    </row>
    <row r="84" spans="1:10" ht="38.25" x14ac:dyDescent="0.2">
      <c r="A84" s="643" t="s">
        <v>713</v>
      </c>
      <c r="B84" s="794">
        <v>3192</v>
      </c>
      <c r="C84" s="5">
        <v>1030</v>
      </c>
      <c r="D84" s="5" t="s">
        <v>412</v>
      </c>
      <c r="E84" s="5" t="s">
        <v>31</v>
      </c>
      <c r="F84" s="5" t="s">
        <v>32</v>
      </c>
      <c r="G84" s="578">
        <f t="shared" si="0"/>
        <v>90000</v>
      </c>
      <c r="H84" s="579">
        <v>90000</v>
      </c>
      <c r="I84" s="579">
        <v>0</v>
      </c>
      <c r="J84" s="580">
        <v>0</v>
      </c>
    </row>
    <row r="85" spans="1:10" ht="38.25" hidden="1" x14ac:dyDescent="0.2">
      <c r="A85" s="643" t="s">
        <v>726</v>
      </c>
      <c r="B85" s="794" t="s">
        <v>60</v>
      </c>
      <c r="C85" s="5" t="s">
        <v>61</v>
      </c>
      <c r="D85" s="5" t="s">
        <v>62</v>
      </c>
      <c r="E85" s="5" t="s">
        <v>31</v>
      </c>
      <c r="F85" s="5" t="s">
        <v>32</v>
      </c>
      <c r="G85" s="578">
        <f t="shared" si="0"/>
        <v>0</v>
      </c>
      <c r="H85" s="579">
        <f>249000-249000</f>
        <v>0</v>
      </c>
      <c r="I85" s="579">
        <v>0</v>
      </c>
      <c r="J85" s="580">
        <v>0</v>
      </c>
    </row>
    <row r="86" spans="1:10" ht="63.75" x14ac:dyDescent="0.2">
      <c r="A86" s="643" t="s">
        <v>727</v>
      </c>
      <c r="B86" s="794" t="s">
        <v>64</v>
      </c>
      <c r="C86" s="5" t="s">
        <v>65</v>
      </c>
      <c r="D86" s="5" t="s">
        <v>66</v>
      </c>
      <c r="E86" s="5" t="s">
        <v>67</v>
      </c>
      <c r="F86" s="5" t="s">
        <v>68</v>
      </c>
      <c r="G86" s="578">
        <f t="shared" si="0"/>
        <v>165000</v>
      </c>
      <c r="H86" s="579">
        <f>100000+65000</f>
        <v>165000</v>
      </c>
      <c r="I86" s="579">
        <v>0</v>
      </c>
      <c r="J86" s="580">
        <v>0</v>
      </c>
    </row>
    <row r="87" spans="1:10" ht="38.25" x14ac:dyDescent="0.2">
      <c r="A87" s="643" t="s">
        <v>727</v>
      </c>
      <c r="B87" s="794" t="s">
        <v>64</v>
      </c>
      <c r="C87" s="5" t="s">
        <v>65</v>
      </c>
      <c r="D87" s="5" t="s">
        <v>66</v>
      </c>
      <c r="E87" s="5" t="s">
        <v>21</v>
      </c>
      <c r="F87" s="5" t="s">
        <v>22</v>
      </c>
      <c r="G87" s="578">
        <f t="shared" si="0"/>
        <v>70000</v>
      </c>
      <c r="H87" s="579">
        <v>70000</v>
      </c>
      <c r="I87" s="579">
        <v>0</v>
      </c>
      <c r="J87" s="580">
        <v>0</v>
      </c>
    </row>
    <row r="88" spans="1:10" ht="38.25" x14ac:dyDescent="0.2">
      <c r="A88" s="643" t="s">
        <v>727</v>
      </c>
      <c r="B88" s="794" t="s">
        <v>64</v>
      </c>
      <c r="C88" s="5" t="s">
        <v>65</v>
      </c>
      <c r="D88" s="5" t="s">
        <v>66</v>
      </c>
      <c r="E88" s="5" t="s">
        <v>31</v>
      </c>
      <c r="F88" s="5" t="s">
        <v>32</v>
      </c>
      <c r="G88" s="578">
        <f t="shared" si="0"/>
        <v>559000</v>
      </c>
      <c r="H88" s="579">
        <f>450000+94000+15000</f>
        <v>559000</v>
      </c>
      <c r="I88" s="579">
        <v>0</v>
      </c>
      <c r="J88" s="580">
        <v>0</v>
      </c>
    </row>
    <row r="89" spans="1:10" ht="32.25" customHeight="1" x14ac:dyDescent="0.2">
      <c r="A89" s="7" t="s">
        <v>161</v>
      </c>
      <c r="B89" s="616" t="s">
        <v>16</v>
      </c>
      <c r="C89" s="4" t="s">
        <v>16</v>
      </c>
      <c r="D89" s="4" t="s">
        <v>162</v>
      </c>
      <c r="E89" s="4" t="s">
        <v>16</v>
      </c>
      <c r="F89" s="4" t="s">
        <v>16</v>
      </c>
      <c r="G89" s="577">
        <f>SUM(G90:G96)</f>
        <v>430196</v>
      </c>
      <c r="H89" s="577">
        <f>SUM(H90:H96)</f>
        <v>300900</v>
      </c>
      <c r="I89" s="577">
        <f>SUM(I90:I96)</f>
        <v>129296</v>
      </c>
      <c r="J89" s="617">
        <f>SUM(J90:J96)</f>
        <v>0</v>
      </c>
    </row>
    <row r="90" spans="1:10" ht="38.25" x14ac:dyDescent="0.2">
      <c r="A90" s="8" t="s">
        <v>459</v>
      </c>
      <c r="B90" s="794" t="s">
        <v>437</v>
      </c>
      <c r="C90" s="5" t="s">
        <v>19</v>
      </c>
      <c r="D90" s="644" t="s">
        <v>438</v>
      </c>
      <c r="E90" s="5" t="s">
        <v>21</v>
      </c>
      <c r="F90" s="5" t="s">
        <v>22</v>
      </c>
      <c r="G90" s="578">
        <f t="shared" si="0"/>
        <v>1500</v>
      </c>
      <c r="H90" s="578">
        <v>1500</v>
      </c>
      <c r="I90" s="579">
        <v>0</v>
      </c>
      <c r="J90" s="580">
        <v>0</v>
      </c>
    </row>
    <row r="91" spans="1:10" ht="54.75" customHeight="1" x14ac:dyDescent="0.2">
      <c r="A91" s="8" t="s">
        <v>163</v>
      </c>
      <c r="B91" s="794" t="s">
        <v>164</v>
      </c>
      <c r="C91" s="5" t="s">
        <v>151</v>
      </c>
      <c r="D91" s="5" t="s">
        <v>165</v>
      </c>
      <c r="E91" s="5" t="s">
        <v>21</v>
      </c>
      <c r="F91" s="5" t="s">
        <v>22</v>
      </c>
      <c r="G91" s="578">
        <f t="shared" si="0"/>
        <v>129296</v>
      </c>
      <c r="H91" s="579">
        <v>0</v>
      </c>
      <c r="I91" s="579">
        <v>129296</v>
      </c>
      <c r="J91" s="580">
        <v>0</v>
      </c>
    </row>
    <row r="92" spans="1:10" s="736" customFormat="1" ht="54.75" customHeight="1" x14ac:dyDescent="0.2">
      <c r="A92" s="731" t="s">
        <v>469</v>
      </c>
      <c r="B92" s="732" t="s">
        <v>470</v>
      </c>
      <c r="C92" s="733" t="s">
        <v>471</v>
      </c>
      <c r="D92" s="733" t="s">
        <v>472</v>
      </c>
      <c r="E92" s="733" t="s">
        <v>21</v>
      </c>
      <c r="F92" s="733" t="s">
        <v>22</v>
      </c>
      <c r="G92" s="734">
        <f>H92+I92</f>
        <v>191000</v>
      </c>
      <c r="H92" s="735">
        <f>48000+76500+43000-1500+20000+5000</f>
        <v>191000</v>
      </c>
      <c r="I92" s="579">
        <v>0</v>
      </c>
      <c r="J92" s="580">
        <v>0</v>
      </c>
    </row>
    <row r="93" spans="1:10" ht="54.75" customHeight="1" x14ac:dyDescent="0.2">
      <c r="A93" s="8" t="s">
        <v>473</v>
      </c>
      <c r="B93" s="794" t="s">
        <v>474</v>
      </c>
      <c r="C93" s="5" t="s">
        <v>168</v>
      </c>
      <c r="D93" s="5" t="s">
        <v>475</v>
      </c>
      <c r="E93" s="5" t="s">
        <v>21</v>
      </c>
      <c r="F93" s="5" t="s">
        <v>22</v>
      </c>
      <c r="G93" s="578">
        <f>H93+I93</f>
        <v>1500</v>
      </c>
      <c r="H93" s="579">
        <v>1500</v>
      </c>
      <c r="I93" s="579">
        <v>0</v>
      </c>
      <c r="J93" s="580">
        <v>0</v>
      </c>
    </row>
    <row r="94" spans="1:10" ht="38.25" x14ac:dyDescent="0.2">
      <c r="A94" s="8" t="s">
        <v>166</v>
      </c>
      <c r="B94" s="794" t="s">
        <v>167</v>
      </c>
      <c r="C94" s="5" t="s">
        <v>168</v>
      </c>
      <c r="D94" s="5" t="s">
        <v>169</v>
      </c>
      <c r="E94" s="5" t="s">
        <v>21</v>
      </c>
      <c r="F94" s="5" t="s">
        <v>22</v>
      </c>
      <c r="G94" s="578">
        <f t="shared" si="0"/>
        <v>42900</v>
      </c>
      <c r="H94" s="579">
        <v>42900</v>
      </c>
      <c r="I94" s="579">
        <v>0</v>
      </c>
      <c r="J94" s="580">
        <v>0</v>
      </c>
    </row>
    <row r="95" spans="1:10" ht="51" x14ac:dyDescent="0.2">
      <c r="A95" s="8" t="s">
        <v>170</v>
      </c>
      <c r="B95" s="794" t="s">
        <v>171</v>
      </c>
      <c r="C95" s="5" t="s">
        <v>172</v>
      </c>
      <c r="D95" s="5" t="s">
        <v>173</v>
      </c>
      <c r="E95" s="5" t="s">
        <v>174</v>
      </c>
      <c r="F95" s="5" t="s">
        <v>175</v>
      </c>
      <c r="G95" s="578">
        <f t="shared" si="0"/>
        <v>49000</v>
      </c>
      <c r="H95" s="579">
        <v>49000</v>
      </c>
      <c r="I95" s="579">
        <v>0</v>
      </c>
      <c r="J95" s="580">
        <v>0</v>
      </c>
    </row>
    <row r="96" spans="1:10" ht="38.25" x14ac:dyDescent="0.2">
      <c r="A96" s="8" t="s">
        <v>176</v>
      </c>
      <c r="B96" s="794" t="s">
        <v>177</v>
      </c>
      <c r="C96" s="5" t="s">
        <v>178</v>
      </c>
      <c r="D96" s="5" t="s">
        <v>179</v>
      </c>
      <c r="E96" s="5" t="s">
        <v>180</v>
      </c>
      <c r="F96" s="5" t="s">
        <v>181</v>
      </c>
      <c r="G96" s="578">
        <f>H96+I96</f>
        <v>15000</v>
      </c>
      <c r="H96" s="579">
        <v>15000</v>
      </c>
      <c r="I96" s="579">
        <v>0</v>
      </c>
      <c r="J96" s="580">
        <v>0</v>
      </c>
    </row>
    <row r="97" spans="1:10" ht="31.15" customHeight="1" x14ac:dyDescent="0.2">
      <c r="A97" s="7">
        <v>3700000</v>
      </c>
      <c r="B97" s="616"/>
      <c r="C97" s="4"/>
      <c r="D97" s="4" t="s">
        <v>478</v>
      </c>
      <c r="E97" s="5"/>
      <c r="F97" s="5"/>
      <c r="G97" s="577">
        <f>G98+G99</f>
        <v>982376</v>
      </c>
      <c r="H97" s="577">
        <f>H98+H99</f>
        <v>0</v>
      </c>
      <c r="I97" s="577">
        <f>I98+I99</f>
        <v>982376</v>
      </c>
      <c r="J97" s="617">
        <f>J98+J99</f>
        <v>982376</v>
      </c>
    </row>
    <row r="98" spans="1:10" ht="38.25" x14ac:dyDescent="0.2">
      <c r="A98" s="8" t="s">
        <v>748</v>
      </c>
      <c r="B98" s="794" t="s">
        <v>750</v>
      </c>
      <c r="C98" s="5" t="s">
        <v>24</v>
      </c>
      <c r="D98" s="5" t="s">
        <v>342</v>
      </c>
      <c r="E98" s="5" t="s">
        <v>21</v>
      </c>
      <c r="F98" s="5" t="s">
        <v>22</v>
      </c>
      <c r="G98" s="578">
        <f>H98+I98</f>
        <v>782376</v>
      </c>
      <c r="H98" s="577">
        <f>H99+H100</f>
        <v>0</v>
      </c>
      <c r="I98" s="579">
        <f>620000+50000+112376</f>
        <v>782376</v>
      </c>
      <c r="J98" s="579">
        <f>620000+50000+112376</f>
        <v>782376</v>
      </c>
    </row>
    <row r="99" spans="1:10" ht="89.25" x14ac:dyDescent="0.2">
      <c r="A99" s="8" t="s">
        <v>747</v>
      </c>
      <c r="B99" s="794" t="s">
        <v>733</v>
      </c>
      <c r="C99" s="5" t="s">
        <v>24</v>
      </c>
      <c r="D99" s="5" t="s">
        <v>737</v>
      </c>
      <c r="E99" s="5" t="s">
        <v>806</v>
      </c>
      <c r="F99" s="5" t="s">
        <v>805</v>
      </c>
      <c r="G99" s="578">
        <f>H99+I99</f>
        <v>200000</v>
      </c>
      <c r="H99" s="577">
        <f>H100+H101</f>
        <v>0</v>
      </c>
      <c r="I99" s="579">
        <v>200000</v>
      </c>
      <c r="J99" s="580">
        <v>200000</v>
      </c>
    </row>
    <row r="100" spans="1:10" ht="12.75" hidden="1" customHeight="1" x14ac:dyDescent="0.2">
      <c r="A100" s="8"/>
      <c r="B100" s="794"/>
      <c r="C100" s="5"/>
      <c r="D100" s="5"/>
      <c r="E100" s="5"/>
      <c r="F100" s="5"/>
      <c r="G100" s="578"/>
      <c r="H100" s="579"/>
      <c r="I100" s="579"/>
      <c r="J100" s="580"/>
    </row>
    <row r="101" spans="1:10" ht="12.75" hidden="1" customHeight="1" x14ac:dyDescent="0.2">
      <c r="A101" s="8"/>
      <c r="B101" s="794"/>
      <c r="C101" s="5"/>
      <c r="D101" s="5"/>
      <c r="E101" s="5"/>
      <c r="F101" s="5"/>
      <c r="G101" s="578"/>
      <c r="H101" s="579"/>
      <c r="I101" s="579"/>
      <c r="J101" s="580"/>
    </row>
    <row r="102" spans="1:10" ht="12.75" hidden="1" customHeight="1" x14ac:dyDescent="0.2">
      <c r="A102" s="8"/>
      <c r="B102" s="794"/>
      <c r="C102" s="5"/>
      <c r="D102" s="5"/>
      <c r="E102" s="5"/>
      <c r="F102" s="5"/>
      <c r="G102" s="578"/>
      <c r="H102" s="579"/>
      <c r="I102" s="579"/>
      <c r="J102" s="580"/>
    </row>
    <row r="103" spans="1:10" ht="12.75" hidden="1" customHeight="1" x14ac:dyDescent="0.2">
      <c r="A103" s="8"/>
      <c r="B103" s="794"/>
      <c r="C103" s="5"/>
      <c r="D103" s="5"/>
      <c r="E103" s="5"/>
      <c r="F103" s="5"/>
      <c r="G103" s="578"/>
      <c r="H103" s="579"/>
      <c r="I103" s="579"/>
      <c r="J103" s="580"/>
    </row>
    <row r="104" spans="1:10" ht="12.75" hidden="1" customHeight="1" x14ac:dyDescent="0.2">
      <c r="A104" s="8"/>
      <c r="B104" s="794"/>
      <c r="C104" s="5"/>
      <c r="D104" s="5"/>
      <c r="E104" s="5"/>
      <c r="F104" s="5"/>
      <c r="G104" s="578"/>
      <c r="H104" s="579"/>
      <c r="I104" s="579"/>
      <c r="J104" s="580"/>
    </row>
    <row r="105" spans="1:10" hidden="1" x14ac:dyDescent="0.2">
      <c r="A105" s="8"/>
      <c r="B105" s="794"/>
      <c r="C105" s="5"/>
      <c r="D105" s="5"/>
      <c r="E105" s="5"/>
      <c r="F105" s="5"/>
      <c r="G105" s="578"/>
      <c r="H105" s="579"/>
      <c r="I105" s="579"/>
      <c r="J105" s="580"/>
    </row>
    <row r="106" spans="1:10" hidden="1" x14ac:dyDescent="0.2">
      <c r="A106" s="8"/>
      <c r="B106" s="794"/>
      <c r="C106" s="5"/>
      <c r="D106" s="5"/>
      <c r="E106" s="5"/>
      <c r="F106" s="5"/>
      <c r="G106" s="578"/>
      <c r="H106" s="579"/>
      <c r="I106" s="579"/>
      <c r="J106" s="580"/>
    </row>
    <row r="107" spans="1:10" hidden="1" x14ac:dyDescent="0.2">
      <c r="A107" s="8"/>
      <c r="B107" s="794"/>
      <c r="C107" s="5"/>
      <c r="D107" s="5"/>
      <c r="E107" s="5"/>
      <c r="F107" s="5"/>
      <c r="G107" s="578"/>
      <c r="H107" s="579"/>
      <c r="I107" s="579"/>
      <c r="J107" s="580"/>
    </row>
    <row r="108" spans="1:10" hidden="1" x14ac:dyDescent="0.2">
      <c r="A108" s="8"/>
      <c r="B108" s="794"/>
      <c r="C108" s="5"/>
      <c r="D108" s="5"/>
      <c r="E108" s="5"/>
      <c r="F108" s="5"/>
      <c r="G108" s="578"/>
      <c r="H108" s="579"/>
      <c r="I108" s="579"/>
      <c r="J108" s="580"/>
    </row>
    <row r="109" spans="1:10" hidden="1" x14ac:dyDescent="0.2">
      <c r="A109" s="8"/>
      <c r="B109" s="794"/>
      <c r="C109" s="5"/>
      <c r="D109" s="5"/>
      <c r="E109" s="5"/>
      <c r="F109" s="5"/>
      <c r="G109" s="578"/>
      <c r="H109" s="579"/>
      <c r="I109" s="579">
        <v>0</v>
      </c>
      <c r="J109" s="580">
        <v>0</v>
      </c>
    </row>
    <row r="110" spans="1:10" ht="23.25" customHeight="1" thickBot="1" x14ac:dyDescent="0.25">
      <c r="A110" s="582" t="s">
        <v>183</v>
      </c>
      <c r="B110" s="583" t="s">
        <v>183</v>
      </c>
      <c r="C110" s="583" t="s">
        <v>183</v>
      </c>
      <c r="D110" s="584" t="s">
        <v>182</v>
      </c>
      <c r="E110" s="584" t="s">
        <v>183</v>
      </c>
      <c r="F110" s="584" t="s">
        <v>183</v>
      </c>
      <c r="G110" s="581">
        <f>G11+G57+G89+G73+G97</f>
        <v>32679327.549999997</v>
      </c>
      <c r="H110" s="581">
        <f>H11+H57+H89+H73+H97</f>
        <v>23175797.370000001</v>
      </c>
      <c r="I110" s="581">
        <f>I11+I57+I89+I73+I97</f>
        <v>9503530.1799999997</v>
      </c>
      <c r="J110" s="796">
        <f>J11+J57+J89+J73+J97</f>
        <v>7324628</v>
      </c>
    </row>
    <row r="111" spans="1:10" x14ac:dyDescent="0.2">
      <c r="G111" s="493"/>
    </row>
    <row r="112" spans="1:10" x14ac:dyDescent="0.2">
      <c r="J112" s="493"/>
    </row>
    <row r="113" spans="4:10" ht="15.75" x14ac:dyDescent="0.25">
      <c r="D113" s="591" t="s">
        <v>692</v>
      </c>
      <c r="H113" s="591" t="s">
        <v>691</v>
      </c>
      <c r="J113" s="493"/>
    </row>
    <row r="114" spans="4:10" hidden="1" x14ac:dyDescent="0.2"/>
    <row r="115" spans="4:10" hidden="1" x14ac:dyDescent="0.2"/>
    <row r="116" spans="4:10" hidden="1" x14ac:dyDescent="0.2"/>
    <row r="117" spans="4:10" hidden="1" x14ac:dyDescent="0.2"/>
    <row r="118" spans="4:10" hidden="1" x14ac:dyDescent="0.2"/>
    <row r="119" spans="4:10" hidden="1" x14ac:dyDescent="0.2"/>
    <row r="120" spans="4:10" hidden="1" x14ac:dyDescent="0.2"/>
    <row r="121" spans="4:10" hidden="1" x14ac:dyDescent="0.2"/>
    <row r="122" spans="4:10" hidden="1" x14ac:dyDescent="0.2"/>
    <row r="123" spans="4:10" hidden="1" x14ac:dyDescent="0.2"/>
    <row r="124" spans="4:10" hidden="1" x14ac:dyDescent="0.2"/>
    <row r="125" spans="4:10" hidden="1" x14ac:dyDescent="0.2"/>
    <row r="126" spans="4:10" hidden="1" x14ac:dyDescent="0.2"/>
    <row r="127" spans="4:10" hidden="1" x14ac:dyDescent="0.2"/>
    <row r="128" spans="4:1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sheetData>
  <mergeCells count="10">
    <mergeCell ref="A5:J5"/>
    <mergeCell ref="A8:A9"/>
    <mergeCell ref="B8:B9"/>
    <mergeCell ref="C8:C9"/>
    <mergeCell ref="D8:D9"/>
    <mergeCell ref="E8:E9"/>
    <mergeCell ref="F8:F9"/>
    <mergeCell ref="G8:G9"/>
    <mergeCell ref="H8:H9"/>
    <mergeCell ref="I8:J8"/>
  </mergeCells>
  <pageMargins left="0.39370078740157483" right="0.39370078740157483" top="1.1811023622047245" bottom="0.39370078740157483" header="0" footer="0"/>
  <pageSetup paperSize="9" scale="88" fitToHeight="19"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7"/>
  <sheetViews>
    <sheetView view="pageBreakPreview" topLeftCell="A181" zoomScale="75" zoomScaleNormal="100" zoomScaleSheetLayoutView="75" workbookViewId="0">
      <selection activeCell="D181" sqref="D181"/>
    </sheetView>
  </sheetViews>
  <sheetFormatPr defaultRowHeight="11.25" x14ac:dyDescent="0.2"/>
  <cols>
    <col min="1" max="1" width="16" style="441" customWidth="1"/>
    <col min="2" max="2" width="11" style="486" customWidth="1"/>
    <col min="3" max="3" width="15.7109375" style="487" customWidth="1"/>
    <col min="4" max="4" width="17.140625" style="483" customWidth="1"/>
    <col min="5" max="5" width="126.140625" style="441" customWidth="1"/>
    <col min="6" max="6" width="17.28515625" style="441" customWidth="1"/>
    <col min="7" max="256" width="9.140625" style="441"/>
    <col min="257" max="257" width="16" style="441" customWidth="1"/>
    <col min="258" max="258" width="11" style="441" customWidth="1"/>
    <col min="259" max="259" width="14.28515625" style="441" customWidth="1"/>
    <col min="260" max="260" width="17.140625" style="441" customWidth="1"/>
    <col min="261" max="261" width="126.140625" style="441" customWidth="1"/>
    <col min="262" max="262" width="9.140625" style="441" customWidth="1"/>
    <col min="263" max="512" width="9.140625" style="441"/>
    <col min="513" max="513" width="16" style="441" customWidth="1"/>
    <col min="514" max="514" width="11" style="441" customWidth="1"/>
    <col min="515" max="515" width="14.28515625" style="441" customWidth="1"/>
    <col min="516" max="516" width="17.140625" style="441" customWidth="1"/>
    <col min="517" max="517" width="126.140625" style="441" customWidth="1"/>
    <col min="518" max="518" width="9.140625" style="441" customWidth="1"/>
    <col min="519" max="768" width="9.140625" style="441"/>
    <col min="769" max="769" width="16" style="441" customWidth="1"/>
    <col min="770" max="770" width="11" style="441" customWidth="1"/>
    <col min="771" max="771" width="14.28515625" style="441" customWidth="1"/>
    <col min="772" max="772" width="17.140625" style="441" customWidth="1"/>
    <col min="773" max="773" width="126.140625" style="441" customWidth="1"/>
    <col min="774" max="774" width="9.140625" style="441" customWidth="1"/>
    <col min="775" max="1024" width="9.140625" style="441"/>
    <col min="1025" max="1025" width="16" style="441" customWidth="1"/>
    <col min="1026" max="1026" width="11" style="441" customWidth="1"/>
    <col min="1027" max="1027" width="14.28515625" style="441" customWidth="1"/>
    <col min="1028" max="1028" width="17.140625" style="441" customWidth="1"/>
    <col min="1029" max="1029" width="126.140625" style="441" customWidth="1"/>
    <col min="1030" max="1030" width="9.140625" style="441" customWidth="1"/>
    <col min="1031" max="1280" width="9.140625" style="441"/>
    <col min="1281" max="1281" width="16" style="441" customWidth="1"/>
    <col min="1282" max="1282" width="11" style="441" customWidth="1"/>
    <col min="1283" max="1283" width="14.28515625" style="441" customWidth="1"/>
    <col min="1284" max="1284" width="17.140625" style="441" customWidth="1"/>
    <col min="1285" max="1285" width="126.140625" style="441" customWidth="1"/>
    <col min="1286" max="1286" width="9.140625" style="441" customWidth="1"/>
    <col min="1287" max="1536" width="9.140625" style="441"/>
    <col min="1537" max="1537" width="16" style="441" customWidth="1"/>
    <col min="1538" max="1538" width="11" style="441" customWidth="1"/>
    <col min="1539" max="1539" width="14.28515625" style="441" customWidth="1"/>
    <col min="1540" max="1540" width="17.140625" style="441" customWidth="1"/>
    <col min="1541" max="1541" width="126.140625" style="441" customWidth="1"/>
    <col min="1542" max="1542" width="9.140625" style="441" customWidth="1"/>
    <col min="1543" max="1792" width="9.140625" style="441"/>
    <col min="1793" max="1793" width="16" style="441" customWidth="1"/>
    <col min="1794" max="1794" width="11" style="441" customWidth="1"/>
    <col min="1795" max="1795" width="14.28515625" style="441" customWidth="1"/>
    <col min="1796" max="1796" width="17.140625" style="441" customWidth="1"/>
    <col min="1797" max="1797" width="126.140625" style="441" customWidth="1"/>
    <col min="1798" max="1798" width="9.140625" style="441" customWidth="1"/>
    <col min="1799" max="2048" width="9.140625" style="441"/>
    <col min="2049" max="2049" width="16" style="441" customWidth="1"/>
    <col min="2050" max="2050" width="11" style="441" customWidth="1"/>
    <col min="2051" max="2051" width="14.28515625" style="441" customWidth="1"/>
    <col min="2052" max="2052" width="17.140625" style="441" customWidth="1"/>
    <col min="2053" max="2053" width="126.140625" style="441" customWidth="1"/>
    <col min="2054" max="2054" width="9.140625" style="441" customWidth="1"/>
    <col min="2055" max="2304" width="9.140625" style="441"/>
    <col min="2305" max="2305" width="16" style="441" customWidth="1"/>
    <col min="2306" max="2306" width="11" style="441" customWidth="1"/>
    <col min="2307" max="2307" width="14.28515625" style="441" customWidth="1"/>
    <col min="2308" max="2308" width="17.140625" style="441" customWidth="1"/>
    <col min="2309" max="2309" width="126.140625" style="441" customWidth="1"/>
    <col min="2310" max="2310" width="9.140625" style="441" customWidth="1"/>
    <col min="2311" max="2560" width="9.140625" style="441"/>
    <col min="2561" max="2561" width="16" style="441" customWidth="1"/>
    <col min="2562" max="2562" width="11" style="441" customWidth="1"/>
    <col min="2563" max="2563" width="14.28515625" style="441" customWidth="1"/>
    <col min="2564" max="2564" width="17.140625" style="441" customWidth="1"/>
    <col min="2565" max="2565" width="126.140625" style="441" customWidth="1"/>
    <col min="2566" max="2566" width="9.140625" style="441" customWidth="1"/>
    <col min="2567" max="2816" width="9.140625" style="441"/>
    <col min="2817" max="2817" width="16" style="441" customWidth="1"/>
    <col min="2818" max="2818" width="11" style="441" customWidth="1"/>
    <col min="2819" max="2819" width="14.28515625" style="441" customWidth="1"/>
    <col min="2820" max="2820" width="17.140625" style="441" customWidth="1"/>
    <col min="2821" max="2821" width="126.140625" style="441" customWidth="1"/>
    <col min="2822" max="2822" width="9.140625" style="441" customWidth="1"/>
    <col min="2823" max="3072" width="9.140625" style="441"/>
    <col min="3073" max="3073" width="16" style="441" customWidth="1"/>
    <col min="3074" max="3074" width="11" style="441" customWidth="1"/>
    <col min="3075" max="3075" width="14.28515625" style="441" customWidth="1"/>
    <col min="3076" max="3076" width="17.140625" style="441" customWidth="1"/>
    <col min="3077" max="3077" width="126.140625" style="441" customWidth="1"/>
    <col min="3078" max="3078" width="9.140625" style="441" customWidth="1"/>
    <col min="3079" max="3328" width="9.140625" style="441"/>
    <col min="3329" max="3329" width="16" style="441" customWidth="1"/>
    <col min="3330" max="3330" width="11" style="441" customWidth="1"/>
    <col min="3331" max="3331" width="14.28515625" style="441" customWidth="1"/>
    <col min="3332" max="3332" width="17.140625" style="441" customWidth="1"/>
    <col min="3333" max="3333" width="126.140625" style="441" customWidth="1"/>
    <col min="3334" max="3334" width="9.140625" style="441" customWidth="1"/>
    <col min="3335" max="3584" width="9.140625" style="441"/>
    <col min="3585" max="3585" width="16" style="441" customWidth="1"/>
    <col min="3586" max="3586" width="11" style="441" customWidth="1"/>
    <col min="3587" max="3587" width="14.28515625" style="441" customWidth="1"/>
    <col min="3588" max="3588" width="17.140625" style="441" customWidth="1"/>
    <col min="3589" max="3589" width="126.140625" style="441" customWidth="1"/>
    <col min="3590" max="3590" width="9.140625" style="441" customWidth="1"/>
    <col min="3591" max="3840" width="9.140625" style="441"/>
    <col min="3841" max="3841" width="16" style="441" customWidth="1"/>
    <col min="3842" max="3842" width="11" style="441" customWidth="1"/>
    <col min="3843" max="3843" width="14.28515625" style="441" customWidth="1"/>
    <col min="3844" max="3844" width="17.140625" style="441" customWidth="1"/>
    <col min="3845" max="3845" width="126.140625" style="441" customWidth="1"/>
    <col min="3846" max="3846" width="9.140625" style="441" customWidth="1"/>
    <col min="3847" max="4096" width="9.140625" style="441"/>
    <col min="4097" max="4097" width="16" style="441" customWidth="1"/>
    <col min="4098" max="4098" width="11" style="441" customWidth="1"/>
    <col min="4099" max="4099" width="14.28515625" style="441" customWidth="1"/>
    <col min="4100" max="4100" width="17.140625" style="441" customWidth="1"/>
    <col min="4101" max="4101" width="126.140625" style="441" customWidth="1"/>
    <col min="4102" max="4102" width="9.140625" style="441" customWidth="1"/>
    <col min="4103" max="4352" width="9.140625" style="441"/>
    <col min="4353" max="4353" width="16" style="441" customWidth="1"/>
    <col min="4354" max="4354" width="11" style="441" customWidth="1"/>
    <col min="4355" max="4355" width="14.28515625" style="441" customWidth="1"/>
    <col min="4356" max="4356" width="17.140625" style="441" customWidth="1"/>
    <col min="4357" max="4357" width="126.140625" style="441" customWidth="1"/>
    <col min="4358" max="4358" width="9.140625" style="441" customWidth="1"/>
    <col min="4359" max="4608" width="9.140625" style="441"/>
    <col min="4609" max="4609" width="16" style="441" customWidth="1"/>
    <col min="4610" max="4610" width="11" style="441" customWidth="1"/>
    <col min="4611" max="4611" width="14.28515625" style="441" customWidth="1"/>
    <col min="4612" max="4612" width="17.140625" style="441" customWidth="1"/>
    <col min="4613" max="4613" width="126.140625" style="441" customWidth="1"/>
    <col min="4614" max="4614" width="9.140625" style="441" customWidth="1"/>
    <col min="4615" max="4864" width="9.140625" style="441"/>
    <col min="4865" max="4865" width="16" style="441" customWidth="1"/>
    <col min="4866" max="4866" width="11" style="441" customWidth="1"/>
    <col min="4867" max="4867" width="14.28515625" style="441" customWidth="1"/>
    <col min="4868" max="4868" width="17.140625" style="441" customWidth="1"/>
    <col min="4869" max="4869" width="126.140625" style="441" customWidth="1"/>
    <col min="4870" max="4870" width="9.140625" style="441" customWidth="1"/>
    <col min="4871" max="5120" width="9.140625" style="441"/>
    <col min="5121" max="5121" width="16" style="441" customWidth="1"/>
    <col min="5122" max="5122" width="11" style="441" customWidth="1"/>
    <col min="5123" max="5123" width="14.28515625" style="441" customWidth="1"/>
    <col min="5124" max="5124" width="17.140625" style="441" customWidth="1"/>
    <col min="5125" max="5125" width="126.140625" style="441" customWidth="1"/>
    <col min="5126" max="5126" width="9.140625" style="441" customWidth="1"/>
    <col min="5127" max="5376" width="9.140625" style="441"/>
    <col min="5377" max="5377" width="16" style="441" customWidth="1"/>
    <col min="5378" max="5378" width="11" style="441" customWidth="1"/>
    <col min="5379" max="5379" width="14.28515625" style="441" customWidth="1"/>
    <col min="5380" max="5380" width="17.140625" style="441" customWidth="1"/>
    <col min="5381" max="5381" width="126.140625" style="441" customWidth="1"/>
    <col min="5382" max="5382" width="9.140625" style="441" customWidth="1"/>
    <col min="5383" max="5632" width="9.140625" style="441"/>
    <col min="5633" max="5633" width="16" style="441" customWidth="1"/>
    <col min="5634" max="5634" width="11" style="441" customWidth="1"/>
    <col min="5635" max="5635" width="14.28515625" style="441" customWidth="1"/>
    <col min="5636" max="5636" width="17.140625" style="441" customWidth="1"/>
    <col min="5637" max="5637" width="126.140625" style="441" customWidth="1"/>
    <col min="5638" max="5638" width="9.140625" style="441" customWidth="1"/>
    <col min="5639" max="5888" width="9.140625" style="441"/>
    <col min="5889" max="5889" width="16" style="441" customWidth="1"/>
    <col min="5890" max="5890" width="11" style="441" customWidth="1"/>
    <col min="5891" max="5891" width="14.28515625" style="441" customWidth="1"/>
    <col min="5892" max="5892" width="17.140625" style="441" customWidth="1"/>
    <col min="5893" max="5893" width="126.140625" style="441" customWidth="1"/>
    <col min="5894" max="5894" width="9.140625" style="441" customWidth="1"/>
    <col min="5895" max="6144" width="9.140625" style="441"/>
    <col min="6145" max="6145" width="16" style="441" customWidth="1"/>
    <col min="6146" max="6146" width="11" style="441" customWidth="1"/>
    <col min="6147" max="6147" width="14.28515625" style="441" customWidth="1"/>
    <col min="6148" max="6148" width="17.140625" style="441" customWidth="1"/>
    <col min="6149" max="6149" width="126.140625" style="441" customWidth="1"/>
    <col min="6150" max="6150" width="9.140625" style="441" customWidth="1"/>
    <col min="6151" max="6400" width="9.140625" style="441"/>
    <col min="6401" max="6401" width="16" style="441" customWidth="1"/>
    <col min="6402" max="6402" width="11" style="441" customWidth="1"/>
    <col min="6403" max="6403" width="14.28515625" style="441" customWidth="1"/>
    <col min="6404" max="6404" width="17.140625" style="441" customWidth="1"/>
    <col min="6405" max="6405" width="126.140625" style="441" customWidth="1"/>
    <col min="6406" max="6406" width="9.140625" style="441" customWidth="1"/>
    <col min="6407" max="6656" width="9.140625" style="441"/>
    <col min="6657" max="6657" width="16" style="441" customWidth="1"/>
    <col min="6658" max="6658" width="11" style="441" customWidth="1"/>
    <col min="6659" max="6659" width="14.28515625" style="441" customWidth="1"/>
    <col min="6660" max="6660" width="17.140625" style="441" customWidth="1"/>
    <col min="6661" max="6661" width="126.140625" style="441" customWidth="1"/>
    <col min="6662" max="6662" width="9.140625" style="441" customWidth="1"/>
    <col min="6663" max="6912" width="9.140625" style="441"/>
    <col min="6913" max="6913" width="16" style="441" customWidth="1"/>
    <col min="6914" max="6914" width="11" style="441" customWidth="1"/>
    <col min="6915" max="6915" width="14.28515625" style="441" customWidth="1"/>
    <col min="6916" max="6916" width="17.140625" style="441" customWidth="1"/>
    <col min="6917" max="6917" width="126.140625" style="441" customWidth="1"/>
    <col min="6918" max="6918" width="9.140625" style="441" customWidth="1"/>
    <col min="6919" max="7168" width="9.140625" style="441"/>
    <col min="7169" max="7169" width="16" style="441" customWidth="1"/>
    <col min="7170" max="7170" width="11" style="441" customWidth="1"/>
    <col min="7171" max="7171" width="14.28515625" style="441" customWidth="1"/>
    <col min="7172" max="7172" width="17.140625" style="441" customWidth="1"/>
    <col min="7173" max="7173" width="126.140625" style="441" customWidth="1"/>
    <col min="7174" max="7174" width="9.140625" style="441" customWidth="1"/>
    <col min="7175" max="7424" width="9.140625" style="441"/>
    <col min="7425" max="7425" width="16" style="441" customWidth="1"/>
    <col min="7426" max="7426" width="11" style="441" customWidth="1"/>
    <col min="7427" max="7427" width="14.28515625" style="441" customWidth="1"/>
    <col min="7428" max="7428" width="17.140625" style="441" customWidth="1"/>
    <col min="7429" max="7429" width="126.140625" style="441" customWidth="1"/>
    <col min="7430" max="7430" width="9.140625" style="441" customWidth="1"/>
    <col min="7431" max="7680" width="9.140625" style="441"/>
    <col min="7681" max="7681" width="16" style="441" customWidth="1"/>
    <col min="7682" max="7682" width="11" style="441" customWidth="1"/>
    <col min="7683" max="7683" width="14.28515625" style="441" customWidth="1"/>
    <col min="7684" max="7684" width="17.140625" style="441" customWidth="1"/>
    <col min="7685" max="7685" width="126.140625" style="441" customWidth="1"/>
    <col min="7686" max="7686" width="9.140625" style="441" customWidth="1"/>
    <col min="7687" max="7936" width="9.140625" style="441"/>
    <col min="7937" max="7937" width="16" style="441" customWidth="1"/>
    <col min="7938" max="7938" width="11" style="441" customWidth="1"/>
    <col min="7939" max="7939" width="14.28515625" style="441" customWidth="1"/>
    <col min="7940" max="7940" width="17.140625" style="441" customWidth="1"/>
    <col min="7941" max="7941" width="126.140625" style="441" customWidth="1"/>
    <col min="7942" max="7942" width="9.140625" style="441" customWidth="1"/>
    <col min="7943" max="8192" width="9.140625" style="441"/>
    <col min="8193" max="8193" width="16" style="441" customWidth="1"/>
    <col min="8194" max="8194" width="11" style="441" customWidth="1"/>
    <col min="8195" max="8195" width="14.28515625" style="441" customWidth="1"/>
    <col min="8196" max="8196" width="17.140625" style="441" customWidth="1"/>
    <col min="8197" max="8197" width="126.140625" style="441" customWidth="1"/>
    <col min="8198" max="8198" width="9.140625" style="441" customWidth="1"/>
    <col min="8199" max="8448" width="9.140625" style="441"/>
    <col min="8449" max="8449" width="16" style="441" customWidth="1"/>
    <col min="8450" max="8450" width="11" style="441" customWidth="1"/>
    <col min="8451" max="8451" width="14.28515625" style="441" customWidth="1"/>
    <col min="8452" max="8452" width="17.140625" style="441" customWidth="1"/>
    <col min="8453" max="8453" width="126.140625" style="441" customWidth="1"/>
    <col min="8454" max="8454" width="9.140625" style="441" customWidth="1"/>
    <col min="8455" max="8704" width="9.140625" style="441"/>
    <col min="8705" max="8705" width="16" style="441" customWidth="1"/>
    <col min="8706" max="8706" width="11" style="441" customWidth="1"/>
    <col min="8707" max="8707" width="14.28515625" style="441" customWidth="1"/>
    <col min="8708" max="8708" width="17.140625" style="441" customWidth="1"/>
    <col min="8709" max="8709" width="126.140625" style="441" customWidth="1"/>
    <col min="8710" max="8710" width="9.140625" style="441" customWidth="1"/>
    <col min="8711" max="8960" width="9.140625" style="441"/>
    <col min="8961" max="8961" width="16" style="441" customWidth="1"/>
    <col min="8962" max="8962" width="11" style="441" customWidth="1"/>
    <col min="8963" max="8963" width="14.28515625" style="441" customWidth="1"/>
    <col min="8964" max="8964" width="17.140625" style="441" customWidth="1"/>
    <col min="8965" max="8965" width="126.140625" style="441" customWidth="1"/>
    <col min="8966" max="8966" width="9.140625" style="441" customWidth="1"/>
    <col min="8967" max="9216" width="9.140625" style="441"/>
    <col min="9217" max="9217" width="16" style="441" customWidth="1"/>
    <col min="9218" max="9218" width="11" style="441" customWidth="1"/>
    <col min="9219" max="9219" width="14.28515625" style="441" customWidth="1"/>
    <col min="9220" max="9220" width="17.140625" style="441" customWidth="1"/>
    <col min="9221" max="9221" width="126.140625" style="441" customWidth="1"/>
    <col min="9222" max="9222" width="9.140625" style="441" customWidth="1"/>
    <col min="9223" max="9472" width="9.140625" style="441"/>
    <col min="9473" max="9473" width="16" style="441" customWidth="1"/>
    <col min="9474" max="9474" width="11" style="441" customWidth="1"/>
    <col min="9475" max="9475" width="14.28515625" style="441" customWidth="1"/>
    <col min="9476" max="9476" width="17.140625" style="441" customWidth="1"/>
    <col min="9477" max="9477" width="126.140625" style="441" customWidth="1"/>
    <col min="9478" max="9478" width="9.140625" style="441" customWidth="1"/>
    <col min="9479" max="9728" width="9.140625" style="441"/>
    <col min="9729" max="9729" width="16" style="441" customWidth="1"/>
    <col min="9730" max="9730" width="11" style="441" customWidth="1"/>
    <col min="9731" max="9731" width="14.28515625" style="441" customWidth="1"/>
    <col min="9732" max="9732" width="17.140625" style="441" customWidth="1"/>
    <col min="9733" max="9733" width="126.140625" style="441" customWidth="1"/>
    <col min="9734" max="9734" width="9.140625" style="441" customWidth="1"/>
    <col min="9735" max="9984" width="9.140625" style="441"/>
    <col min="9985" max="9985" width="16" style="441" customWidth="1"/>
    <col min="9986" max="9986" width="11" style="441" customWidth="1"/>
    <col min="9987" max="9987" width="14.28515625" style="441" customWidth="1"/>
    <col min="9988" max="9988" width="17.140625" style="441" customWidth="1"/>
    <col min="9989" max="9989" width="126.140625" style="441" customWidth="1"/>
    <col min="9990" max="9990" width="9.140625" style="441" customWidth="1"/>
    <col min="9991" max="10240" width="9.140625" style="441"/>
    <col min="10241" max="10241" width="16" style="441" customWidth="1"/>
    <col min="10242" max="10242" width="11" style="441" customWidth="1"/>
    <col min="10243" max="10243" width="14.28515625" style="441" customWidth="1"/>
    <col min="10244" max="10244" width="17.140625" style="441" customWidth="1"/>
    <col min="10245" max="10245" width="126.140625" style="441" customWidth="1"/>
    <col min="10246" max="10246" width="9.140625" style="441" customWidth="1"/>
    <col min="10247" max="10496" width="9.140625" style="441"/>
    <col min="10497" max="10497" width="16" style="441" customWidth="1"/>
    <col min="10498" max="10498" width="11" style="441" customWidth="1"/>
    <col min="10499" max="10499" width="14.28515625" style="441" customWidth="1"/>
    <col min="10500" max="10500" width="17.140625" style="441" customWidth="1"/>
    <col min="10501" max="10501" width="126.140625" style="441" customWidth="1"/>
    <col min="10502" max="10502" width="9.140625" style="441" customWidth="1"/>
    <col min="10503" max="10752" width="9.140625" style="441"/>
    <col min="10753" max="10753" width="16" style="441" customWidth="1"/>
    <col min="10754" max="10754" width="11" style="441" customWidth="1"/>
    <col min="10755" max="10755" width="14.28515625" style="441" customWidth="1"/>
    <col min="10756" max="10756" width="17.140625" style="441" customWidth="1"/>
    <col min="10757" max="10757" width="126.140625" style="441" customWidth="1"/>
    <col min="10758" max="10758" width="9.140625" style="441" customWidth="1"/>
    <col min="10759" max="11008" width="9.140625" style="441"/>
    <col min="11009" max="11009" width="16" style="441" customWidth="1"/>
    <col min="11010" max="11010" width="11" style="441" customWidth="1"/>
    <col min="11011" max="11011" width="14.28515625" style="441" customWidth="1"/>
    <col min="11012" max="11012" width="17.140625" style="441" customWidth="1"/>
    <col min="11013" max="11013" width="126.140625" style="441" customWidth="1"/>
    <col min="11014" max="11014" width="9.140625" style="441" customWidth="1"/>
    <col min="11015" max="11264" width="9.140625" style="441"/>
    <col min="11265" max="11265" width="16" style="441" customWidth="1"/>
    <col min="11266" max="11266" width="11" style="441" customWidth="1"/>
    <col min="11267" max="11267" width="14.28515625" style="441" customWidth="1"/>
    <col min="11268" max="11268" width="17.140625" style="441" customWidth="1"/>
    <col min="11269" max="11269" width="126.140625" style="441" customWidth="1"/>
    <col min="11270" max="11270" width="9.140625" style="441" customWidth="1"/>
    <col min="11271" max="11520" width="9.140625" style="441"/>
    <col min="11521" max="11521" width="16" style="441" customWidth="1"/>
    <col min="11522" max="11522" width="11" style="441" customWidth="1"/>
    <col min="11523" max="11523" width="14.28515625" style="441" customWidth="1"/>
    <col min="11524" max="11524" width="17.140625" style="441" customWidth="1"/>
    <col min="11525" max="11525" width="126.140625" style="441" customWidth="1"/>
    <col min="11526" max="11526" width="9.140625" style="441" customWidth="1"/>
    <col min="11527" max="11776" width="9.140625" style="441"/>
    <col min="11777" max="11777" width="16" style="441" customWidth="1"/>
    <col min="11778" max="11778" width="11" style="441" customWidth="1"/>
    <col min="11779" max="11779" width="14.28515625" style="441" customWidth="1"/>
    <col min="11780" max="11780" width="17.140625" style="441" customWidth="1"/>
    <col min="11781" max="11781" width="126.140625" style="441" customWidth="1"/>
    <col min="11782" max="11782" width="9.140625" style="441" customWidth="1"/>
    <col min="11783" max="12032" width="9.140625" style="441"/>
    <col min="12033" max="12033" width="16" style="441" customWidth="1"/>
    <col min="12034" max="12034" width="11" style="441" customWidth="1"/>
    <col min="12035" max="12035" width="14.28515625" style="441" customWidth="1"/>
    <col min="12036" max="12036" width="17.140625" style="441" customWidth="1"/>
    <col min="12037" max="12037" width="126.140625" style="441" customWidth="1"/>
    <col min="12038" max="12038" width="9.140625" style="441" customWidth="1"/>
    <col min="12039" max="12288" width="9.140625" style="441"/>
    <col min="12289" max="12289" width="16" style="441" customWidth="1"/>
    <col min="12290" max="12290" width="11" style="441" customWidth="1"/>
    <col min="12291" max="12291" width="14.28515625" style="441" customWidth="1"/>
    <col min="12292" max="12292" width="17.140625" style="441" customWidth="1"/>
    <col min="12293" max="12293" width="126.140625" style="441" customWidth="1"/>
    <col min="12294" max="12294" width="9.140625" style="441" customWidth="1"/>
    <col min="12295" max="12544" width="9.140625" style="441"/>
    <col min="12545" max="12545" width="16" style="441" customWidth="1"/>
    <col min="12546" max="12546" width="11" style="441" customWidth="1"/>
    <col min="12547" max="12547" width="14.28515625" style="441" customWidth="1"/>
    <col min="12548" max="12548" width="17.140625" style="441" customWidth="1"/>
    <col min="12549" max="12549" width="126.140625" style="441" customWidth="1"/>
    <col min="12550" max="12550" width="9.140625" style="441" customWidth="1"/>
    <col min="12551" max="12800" width="9.140625" style="441"/>
    <col min="12801" max="12801" width="16" style="441" customWidth="1"/>
    <col min="12802" max="12802" width="11" style="441" customWidth="1"/>
    <col min="12803" max="12803" width="14.28515625" style="441" customWidth="1"/>
    <col min="12804" max="12804" width="17.140625" style="441" customWidth="1"/>
    <col min="12805" max="12805" width="126.140625" style="441" customWidth="1"/>
    <col min="12806" max="12806" width="9.140625" style="441" customWidth="1"/>
    <col min="12807" max="13056" width="9.140625" style="441"/>
    <col min="13057" max="13057" width="16" style="441" customWidth="1"/>
    <col min="13058" max="13058" width="11" style="441" customWidth="1"/>
    <col min="13059" max="13059" width="14.28515625" style="441" customWidth="1"/>
    <col min="13060" max="13060" width="17.140625" style="441" customWidth="1"/>
    <col min="13061" max="13061" width="126.140625" style="441" customWidth="1"/>
    <col min="13062" max="13062" width="9.140625" style="441" customWidth="1"/>
    <col min="13063" max="13312" width="9.140625" style="441"/>
    <col min="13313" max="13313" width="16" style="441" customWidth="1"/>
    <col min="13314" max="13314" width="11" style="441" customWidth="1"/>
    <col min="13315" max="13315" width="14.28515625" style="441" customWidth="1"/>
    <col min="13316" max="13316" width="17.140625" style="441" customWidth="1"/>
    <col min="13317" max="13317" width="126.140625" style="441" customWidth="1"/>
    <col min="13318" max="13318" width="9.140625" style="441" customWidth="1"/>
    <col min="13319" max="13568" width="9.140625" style="441"/>
    <col min="13569" max="13569" width="16" style="441" customWidth="1"/>
    <col min="13570" max="13570" width="11" style="441" customWidth="1"/>
    <col min="13571" max="13571" width="14.28515625" style="441" customWidth="1"/>
    <col min="13572" max="13572" width="17.140625" style="441" customWidth="1"/>
    <col min="13573" max="13573" width="126.140625" style="441" customWidth="1"/>
    <col min="13574" max="13574" width="9.140625" style="441" customWidth="1"/>
    <col min="13575" max="13824" width="9.140625" style="441"/>
    <col min="13825" max="13825" width="16" style="441" customWidth="1"/>
    <col min="13826" max="13826" width="11" style="441" customWidth="1"/>
    <col min="13827" max="13827" width="14.28515625" style="441" customWidth="1"/>
    <col min="13828" max="13828" width="17.140625" style="441" customWidth="1"/>
    <col min="13829" max="13829" width="126.140625" style="441" customWidth="1"/>
    <col min="13830" max="13830" width="9.140625" style="441" customWidth="1"/>
    <col min="13831" max="14080" width="9.140625" style="441"/>
    <col min="14081" max="14081" width="16" style="441" customWidth="1"/>
    <col min="14082" max="14082" width="11" style="441" customWidth="1"/>
    <col min="14083" max="14083" width="14.28515625" style="441" customWidth="1"/>
    <col min="14084" max="14084" width="17.140625" style="441" customWidth="1"/>
    <col min="14085" max="14085" width="126.140625" style="441" customWidth="1"/>
    <col min="14086" max="14086" width="9.140625" style="441" customWidth="1"/>
    <col min="14087" max="14336" width="9.140625" style="441"/>
    <col min="14337" max="14337" width="16" style="441" customWidth="1"/>
    <col min="14338" max="14338" width="11" style="441" customWidth="1"/>
    <col min="14339" max="14339" width="14.28515625" style="441" customWidth="1"/>
    <col min="14340" max="14340" width="17.140625" style="441" customWidth="1"/>
    <col min="14341" max="14341" width="126.140625" style="441" customWidth="1"/>
    <col min="14342" max="14342" width="9.140625" style="441" customWidth="1"/>
    <col min="14343" max="14592" width="9.140625" style="441"/>
    <col min="14593" max="14593" width="16" style="441" customWidth="1"/>
    <col min="14594" max="14594" width="11" style="441" customWidth="1"/>
    <col min="14595" max="14595" width="14.28515625" style="441" customWidth="1"/>
    <col min="14596" max="14596" width="17.140625" style="441" customWidth="1"/>
    <col min="14597" max="14597" width="126.140625" style="441" customWidth="1"/>
    <col min="14598" max="14598" width="9.140625" style="441" customWidth="1"/>
    <col min="14599" max="14848" width="9.140625" style="441"/>
    <col min="14849" max="14849" width="16" style="441" customWidth="1"/>
    <col min="14850" max="14850" width="11" style="441" customWidth="1"/>
    <col min="14851" max="14851" width="14.28515625" style="441" customWidth="1"/>
    <col min="14852" max="14852" width="17.140625" style="441" customWidth="1"/>
    <col min="14853" max="14853" width="126.140625" style="441" customWidth="1"/>
    <col min="14854" max="14854" width="9.140625" style="441" customWidth="1"/>
    <col min="14855" max="15104" width="9.140625" style="441"/>
    <col min="15105" max="15105" width="16" style="441" customWidth="1"/>
    <col min="15106" max="15106" width="11" style="441" customWidth="1"/>
    <col min="15107" max="15107" width="14.28515625" style="441" customWidth="1"/>
    <col min="15108" max="15108" width="17.140625" style="441" customWidth="1"/>
    <col min="15109" max="15109" width="126.140625" style="441" customWidth="1"/>
    <col min="15110" max="15110" width="9.140625" style="441" customWidth="1"/>
    <col min="15111" max="15360" width="9.140625" style="441"/>
    <col min="15361" max="15361" width="16" style="441" customWidth="1"/>
    <col min="15362" max="15362" width="11" style="441" customWidth="1"/>
    <col min="15363" max="15363" width="14.28515625" style="441" customWidth="1"/>
    <col min="15364" max="15364" width="17.140625" style="441" customWidth="1"/>
    <col min="15365" max="15365" width="126.140625" style="441" customWidth="1"/>
    <col min="15366" max="15366" width="9.140625" style="441" customWidth="1"/>
    <col min="15367" max="15616" width="9.140625" style="441"/>
    <col min="15617" max="15617" width="16" style="441" customWidth="1"/>
    <col min="15618" max="15618" width="11" style="441" customWidth="1"/>
    <col min="15619" max="15619" width="14.28515625" style="441" customWidth="1"/>
    <col min="15620" max="15620" width="17.140625" style="441" customWidth="1"/>
    <col min="15621" max="15621" width="126.140625" style="441" customWidth="1"/>
    <col min="15622" max="15622" width="9.140625" style="441" customWidth="1"/>
    <col min="15623" max="15872" width="9.140625" style="441"/>
    <col min="15873" max="15873" width="16" style="441" customWidth="1"/>
    <col min="15874" max="15874" width="11" style="441" customWidth="1"/>
    <col min="15875" max="15875" width="14.28515625" style="441" customWidth="1"/>
    <col min="15876" max="15876" width="17.140625" style="441" customWidth="1"/>
    <col min="15877" max="15877" width="126.140625" style="441" customWidth="1"/>
    <col min="15878" max="15878" width="9.140625" style="441" customWidth="1"/>
    <col min="15879" max="16128" width="9.140625" style="441"/>
    <col min="16129" max="16129" width="16" style="441" customWidth="1"/>
    <col min="16130" max="16130" width="11" style="441" customWidth="1"/>
    <col min="16131" max="16131" width="14.28515625" style="441" customWidth="1"/>
    <col min="16132" max="16132" width="17.140625" style="441" customWidth="1"/>
    <col min="16133" max="16133" width="126.140625" style="441" customWidth="1"/>
    <col min="16134" max="16134" width="9.140625" style="441" customWidth="1"/>
    <col min="16135" max="16384" width="9.140625" style="441"/>
  </cols>
  <sheetData>
    <row r="1" spans="1:5" ht="33.75" customHeight="1" x14ac:dyDescent="0.2">
      <c r="A1" s="436"/>
      <c r="B1" s="437"/>
      <c r="C1" s="438"/>
      <c r="D1" s="439"/>
      <c r="E1" s="440" t="s">
        <v>991</v>
      </c>
    </row>
    <row r="2" spans="1:5" ht="37.5" customHeight="1" x14ac:dyDescent="0.2">
      <c r="A2" s="956" t="s">
        <v>815</v>
      </c>
      <c r="B2" s="956"/>
      <c r="C2" s="956"/>
      <c r="D2" s="956"/>
      <c r="E2" s="956"/>
    </row>
    <row r="3" spans="1:5" ht="15" customHeight="1" x14ac:dyDescent="0.2">
      <c r="A3" s="957" t="s">
        <v>660</v>
      </c>
      <c r="B3" s="958"/>
      <c r="C3" s="958"/>
      <c r="D3" s="958"/>
      <c r="E3" s="958"/>
    </row>
    <row r="4" spans="1:5" ht="16.5" customHeight="1" thickBot="1" x14ac:dyDescent="0.25">
      <c r="A4" s="959" t="s">
        <v>572</v>
      </c>
      <c r="B4" s="959"/>
      <c r="C4" s="959"/>
      <c r="D4" s="442"/>
      <c r="E4" s="442"/>
    </row>
    <row r="5" spans="1:5" ht="16.5" hidden="1" customHeight="1" thickBot="1" x14ac:dyDescent="0.25">
      <c r="A5" s="960" t="s">
        <v>573</v>
      </c>
      <c r="B5" s="961"/>
      <c r="C5" s="961"/>
      <c r="D5" s="442"/>
      <c r="E5" s="442"/>
    </row>
    <row r="6" spans="1:5" s="448" customFormat="1" ht="54" customHeight="1" thickBot="1" x14ac:dyDescent="0.25">
      <c r="A6" s="443" t="s">
        <v>574</v>
      </c>
      <c r="B6" s="444" t="s">
        <v>575</v>
      </c>
      <c r="C6" s="445" t="s">
        <v>576</v>
      </c>
      <c r="D6" s="446" t="s">
        <v>577</v>
      </c>
      <c r="E6" s="447" t="s">
        <v>578</v>
      </c>
    </row>
    <row r="7" spans="1:5" s="448" customFormat="1" ht="78.599999999999994" hidden="1" customHeight="1" x14ac:dyDescent="0.2">
      <c r="A7" s="756" t="s">
        <v>579</v>
      </c>
      <c r="B7" s="757" t="s">
        <v>17</v>
      </c>
      <c r="C7" s="758"/>
      <c r="D7" s="759" t="s">
        <v>818</v>
      </c>
      <c r="E7" s="475" t="s">
        <v>830</v>
      </c>
    </row>
    <row r="8" spans="1:5" s="448" customFormat="1" ht="69" hidden="1" customHeight="1" x14ac:dyDescent="0.2">
      <c r="A8" s="761" t="s">
        <v>579</v>
      </c>
      <c r="B8" s="762" t="s">
        <v>17</v>
      </c>
      <c r="C8" s="763"/>
      <c r="D8" s="488" t="s">
        <v>874</v>
      </c>
      <c r="E8" s="764" t="s">
        <v>905</v>
      </c>
    </row>
    <row r="9" spans="1:5" s="452" customFormat="1" ht="94.5" hidden="1" customHeight="1" x14ac:dyDescent="0.2">
      <c r="A9" s="683" t="s">
        <v>579</v>
      </c>
      <c r="B9" s="745" t="s">
        <v>17</v>
      </c>
      <c r="C9" s="488"/>
      <c r="D9" s="488" t="s">
        <v>716</v>
      </c>
      <c r="E9" s="489" t="s">
        <v>754</v>
      </c>
    </row>
    <row r="10" spans="1:5" s="452" customFormat="1" ht="81.599999999999994" hidden="1" customHeight="1" x14ac:dyDescent="0.2">
      <c r="A10" s="683" t="s">
        <v>579</v>
      </c>
      <c r="B10" s="745" t="s">
        <v>17</v>
      </c>
      <c r="C10" s="488"/>
      <c r="D10" s="488" t="s">
        <v>804</v>
      </c>
      <c r="E10" s="489" t="s">
        <v>802</v>
      </c>
    </row>
    <row r="11" spans="1:5" s="452" customFormat="1" ht="78.75" hidden="1" customHeight="1" x14ac:dyDescent="0.2">
      <c r="A11" s="683" t="s">
        <v>579</v>
      </c>
      <c r="B11" s="745" t="s">
        <v>17</v>
      </c>
      <c r="C11" s="488"/>
      <c r="D11" s="488" t="s">
        <v>581</v>
      </c>
      <c r="E11" s="489" t="s">
        <v>582</v>
      </c>
    </row>
    <row r="12" spans="1:5" s="452" customFormat="1" ht="78.75" hidden="1" customHeight="1" x14ac:dyDescent="0.2">
      <c r="A12" s="683" t="s">
        <v>579</v>
      </c>
      <c r="B12" s="745" t="s">
        <v>17</v>
      </c>
      <c r="C12" s="488"/>
      <c r="D12" s="746" t="s">
        <v>581</v>
      </c>
      <c r="E12" s="489" t="s">
        <v>583</v>
      </c>
    </row>
    <row r="13" spans="1:5" s="452" customFormat="1" ht="78.75" hidden="1" customHeight="1" x14ac:dyDescent="0.2">
      <c r="A13" s="683" t="s">
        <v>579</v>
      </c>
      <c r="B13" s="745" t="s">
        <v>23</v>
      </c>
      <c r="C13" s="488"/>
      <c r="D13" s="488" t="s">
        <v>665</v>
      </c>
      <c r="E13" s="512" t="s">
        <v>673</v>
      </c>
    </row>
    <row r="14" spans="1:5" s="452" customFormat="1" ht="87.75" hidden="1" customHeight="1" x14ac:dyDescent="0.2">
      <c r="A14" s="683" t="s">
        <v>579</v>
      </c>
      <c r="B14" s="745" t="s">
        <v>23</v>
      </c>
      <c r="C14" s="488"/>
      <c r="D14" s="488" t="s">
        <v>789</v>
      </c>
      <c r="E14" s="512" t="s">
        <v>782</v>
      </c>
    </row>
    <row r="15" spans="1:5" s="452" customFormat="1" ht="88.15" hidden="1" customHeight="1" x14ac:dyDescent="0.2">
      <c r="A15" s="683" t="s">
        <v>579</v>
      </c>
      <c r="B15" s="745" t="s">
        <v>23</v>
      </c>
      <c r="C15" s="488"/>
      <c r="D15" s="488" t="s">
        <v>818</v>
      </c>
      <c r="E15" s="489" t="s">
        <v>835</v>
      </c>
    </row>
    <row r="16" spans="1:5" s="452" customFormat="1" ht="110.25" hidden="1" customHeight="1" x14ac:dyDescent="0.2">
      <c r="A16" s="683" t="s">
        <v>579</v>
      </c>
      <c r="B16" s="745" t="s">
        <v>400</v>
      </c>
      <c r="C16" s="488"/>
      <c r="D16" s="488" t="s">
        <v>716</v>
      </c>
      <c r="E16" s="489" t="s">
        <v>742</v>
      </c>
    </row>
    <row r="17" spans="1:5" s="452" customFormat="1" ht="110.25" hidden="1" customHeight="1" x14ac:dyDescent="0.2">
      <c r="A17" s="683" t="s">
        <v>629</v>
      </c>
      <c r="B17" s="745" t="s">
        <v>715</v>
      </c>
      <c r="C17" s="488"/>
      <c r="D17" s="488" t="s">
        <v>716</v>
      </c>
      <c r="E17" s="489" t="s">
        <v>743</v>
      </c>
    </row>
    <row r="18" spans="1:5" s="452" customFormat="1" ht="94.5" hidden="1" customHeight="1" x14ac:dyDescent="0.2">
      <c r="A18" s="683" t="s">
        <v>579</v>
      </c>
      <c r="B18" s="745" t="s">
        <v>27</v>
      </c>
      <c r="C18" s="488"/>
      <c r="D18" s="488" t="s">
        <v>716</v>
      </c>
      <c r="E18" s="489" t="s">
        <v>744</v>
      </c>
    </row>
    <row r="19" spans="1:5" s="452" customFormat="1" ht="94.5" hidden="1" customHeight="1" x14ac:dyDescent="0.2">
      <c r="A19" s="683" t="s">
        <v>629</v>
      </c>
      <c r="B19" s="745" t="s">
        <v>722</v>
      </c>
      <c r="C19" s="488"/>
      <c r="D19" s="488" t="s">
        <v>716</v>
      </c>
      <c r="E19" s="489" t="s">
        <v>745</v>
      </c>
    </row>
    <row r="20" spans="1:5" s="452" customFormat="1" ht="173.25" hidden="1" customHeight="1" x14ac:dyDescent="0.2">
      <c r="A20" s="683" t="s">
        <v>579</v>
      </c>
      <c r="B20" s="745" t="s">
        <v>33</v>
      </c>
      <c r="C20" s="738"/>
      <c r="D20" s="488" t="s">
        <v>792</v>
      </c>
      <c r="E20" s="512" t="s">
        <v>791</v>
      </c>
    </row>
    <row r="21" spans="1:5" s="452" customFormat="1" ht="173.25" hidden="1" x14ac:dyDescent="0.2">
      <c r="A21" s="683" t="s">
        <v>629</v>
      </c>
      <c r="B21" s="745" t="s">
        <v>720</v>
      </c>
      <c r="C21" s="738"/>
      <c r="D21" s="488" t="s">
        <v>792</v>
      </c>
      <c r="E21" s="512" t="s">
        <v>791</v>
      </c>
    </row>
    <row r="22" spans="1:5" s="452" customFormat="1" ht="173.25" hidden="1" customHeight="1" x14ac:dyDescent="0.2">
      <c r="A22" s="683" t="s">
        <v>579</v>
      </c>
      <c r="B22" s="747" t="s">
        <v>408</v>
      </c>
      <c r="C22" s="488"/>
      <c r="D22" s="488" t="s">
        <v>797</v>
      </c>
      <c r="E22" s="512" t="s">
        <v>793</v>
      </c>
    </row>
    <row r="23" spans="1:5" s="452" customFormat="1" ht="173.25" hidden="1" customHeight="1" x14ac:dyDescent="0.2">
      <c r="A23" s="683" t="s">
        <v>629</v>
      </c>
      <c r="B23" s="747" t="s">
        <v>721</v>
      </c>
      <c r="C23" s="488"/>
      <c r="D23" s="488" t="s">
        <v>797</v>
      </c>
      <c r="E23" s="512" t="s">
        <v>793</v>
      </c>
    </row>
    <row r="24" spans="1:5" s="452" customFormat="1" ht="94.5" hidden="1" customHeight="1" x14ac:dyDescent="0.2">
      <c r="A24" s="683" t="s">
        <v>579</v>
      </c>
      <c r="B24" s="747" t="s">
        <v>46</v>
      </c>
      <c r="C24" s="488"/>
      <c r="D24" s="488" t="s">
        <v>716</v>
      </c>
      <c r="E24" s="489" t="s">
        <v>746</v>
      </c>
    </row>
    <row r="25" spans="1:5" s="452" customFormat="1" ht="81.599999999999994" hidden="1" customHeight="1" x14ac:dyDescent="0.2">
      <c r="A25" s="683" t="s">
        <v>629</v>
      </c>
      <c r="B25" s="747" t="s">
        <v>723</v>
      </c>
      <c r="C25" s="488"/>
      <c r="D25" s="488" t="s">
        <v>716</v>
      </c>
      <c r="E25" s="489" t="s">
        <v>731</v>
      </c>
    </row>
    <row r="26" spans="1:5" s="452" customFormat="1" ht="121.5" hidden="1" customHeight="1" x14ac:dyDescent="0.2">
      <c r="A26" s="683" t="s">
        <v>579</v>
      </c>
      <c r="B26" s="747" t="s">
        <v>51</v>
      </c>
      <c r="C26" s="753"/>
      <c r="D26" s="488" t="s">
        <v>797</v>
      </c>
      <c r="E26" s="512" t="s">
        <v>794</v>
      </c>
    </row>
    <row r="27" spans="1:5" s="452" customFormat="1" ht="127.5" hidden="1" customHeight="1" x14ac:dyDescent="0.2">
      <c r="A27" s="683" t="s">
        <v>629</v>
      </c>
      <c r="B27" s="747" t="s">
        <v>724</v>
      </c>
      <c r="C27" s="753"/>
      <c r="D27" s="488" t="s">
        <v>797</v>
      </c>
      <c r="E27" s="512" t="s">
        <v>800</v>
      </c>
    </row>
    <row r="28" spans="1:5" s="452" customFormat="1" ht="126" hidden="1" customHeight="1" x14ac:dyDescent="0.2">
      <c r="A28" s="683" t="s">
        <v>579</v>
      </c>
      <c r="B28" s="747" t="s">
        <v>55</v>
      </c>
      <c r="C28" s="753"/>
      <c r="D28" s="488" t="s">
        <v>797</v>
      </c>
      <c r="E28" s="512" t="s">
        <v>795</v>
      </c>
    </row>
    <row r="29" spans="1:5" s="452" customFormat="1" ht="126" hidden="1" customHeight="1" x14ac:dyDescent="0.2">
      <c r="A29" s="683" t="s">
        <v>629</v>
      </c>
      <c r="B29" s="747" t="s">
        <v>725</v>
      </c>
      <c r="C29" s="753"/>
      <c r="D29" s="488" t="s">
        <v>797</v>
      </c>
      <c r="E29" s="512" t="s">
        <v>795</v>
      </c>
    </row>
    <row r="30" spans="1:5" s="452" customFormat="1" ht="126" hidden="1" customHeight="1" x14ac:dyDescent="0.2">
      <c r="A30" s="683" t="s">
        <v>629</v>
      </c>
      <c r="B30" s="747" t="s">
        <v>726</v>
      </c>
      <c r="C30" s="488"/>
      <c r="D30" s="488" t="s">
        <v>779</v>
      </c>
      <c r="E30" s="512" t="s">
        <v>781</v>
      </c>
    </row>
    <row r="31" spans="1:5" s="452" customFormat="1" ht="126" hidden="1" customHeight="1" x14ac:dyDescent="0.2">
      <c r="A31" s="765" t="s">
        <v>16</v>
      </c>
      <c r="B31" s="747" t="s">
        <v>59</v>
      </c>
      <c r="C31" s="488"/>
      <c r="D31" s="488" t="s">
        <v>779</v>
      </c>
      <c r="E31" s="512" t="s">
        <v>780</v>
      </c>
    </row>
    <row r="32" spans="1:5" s="452" customFormat="1" ht="110.25" hidden="1" customHeight="1" x14ac:dyDescent="0.2">
      <c r="A32" s="683" t="s">
        <v>579</v>
      </c>
      <c r="B32" s="745" t="s">
        <v>63</v>
      </c>
      <c r="C32" s="488"/>
      <c r="D32" s="488" t="s">
        <v>797</v>
      </c>
      <c r="E32" s="512" t="s">
        <v>796</v>
      </c>
    </row>
    <row r="33" spans="1:5" s="452" customFormat="1" ht="120" hidden="1" customHeight="1" x14ac:dyDescent="0.2">
      <c r="A33" s="683" t="s">
        <v>629</v>
      </c>
      <c r="B33" s="745" t="s">
        <v>727</v>
      </c>
      <c r="C33" s="488"/>
      <c r="D33" s="488" t="s">
        <v>797</v>
      </c>
      <c r="E33" s="512" t="s">
        <v>796</v>
      </c>
    </row>
    <row r="34" spans="1:5" s="452" customFormat="1" ht="47.25" hidden="1" customHeight="1" x14ac:dyDescent="0.2">
      <c r="A34" s="683" t="s">
        <v>579</v>
      </c>
      <c r="B34" s="745" t="s">
        <v>63</v>
      </c>
      <c r="C34" s="488"/>
      <c r="D34" s="488" t="s">
        <v>585</v>
      </c>
      <c r="E34" s="748" t="s">
        <v>586</v>
      </c>
    </row>
    <row r="35" spans="1:5" s="452" customFormat="1" ht="78.75" hidden="1" customHeight="1" x14ac:dyDescent="0.2">
      <c r="A35" s="683" t="s">
        <v>579</v>
      </c>
      <c r="B35" s="745" t="s">
        <v>63</v>
      </c>
      <c r="C35" s="488"/>
      <c r="D35" s="746" t="s">
        <v>584</v>
      </c>
      <c r="E35" s="749" t="s">
        <v>587</v>
      </c>
    </row>
    <row r="36" spans="1:5" s="452" customFormat="1" ht="31.5" hidden="1" customHeight="1" x14ac:dyDescent="0.2">
      <c r="A36" s="683" t="s">
        <v>579</v>
      </c>
      <c r="B36" s="745" t="s">
        <v>75</v>
      </c>
      <c r="C36" s="488"/>
      <c r="D36" s="488" t="s">
        <v>588</v>
      </c>
      <c r="E36" s="749" t="s">
        <v>589</v>
      </c>
    </row>
    <row r="37" spans="1:5" s="452" customFormat="1" ht="66" customHeight="1" x14ac:dyDescent="0.2">
      <c r="A37" s="683" t="s">
        <v>579</v>
      </c>
      <c r="B37" s="745" t="s">
        <v>75</v>
      </c>
      <c r="C37" s="488">
        <v>-24500</v>
      </c>
      <c r="D37" s="488" t="s">
        <v>930</v>
      </c>
      <c r="E37" s="489" t="s">
        <v>964</v>
      </c>
    </row>
    <row r="38" spans="1:5" s="452" customFormat="1" ht="52.15" customHeight="1" x14ac:dyDescent="0.2">
      <c r="A38" s="683" t="s">
        <v>579</v>
      </c>
      <c r="B38" s="745" t="s">
        <v>75</v>
      </c>
      <c r="C38" s="488">
        <v>24500</v>
      </c>
      <c r="D38" s="488" t="s">
        <v>930</v>
      </c>
      <c r="E38" s="489" t="s">
        <v>965</v>
      </c>
    </row>
    <row r="39" spans="1:5" s="452" customFormat="1" ht="76.900000000000006" customHeight="1" x14ac:dyDescent="0.2">
      <c r="A39" s="683" t="s">
        <v>579</v>
      </c>
      <c r="B39" s="745" t="s">
        <v>78</v>
      </c>
      <c r="C39" s="739">
        <v>60000</v>
      </c>
      <c r="D39" s="746" t="s">
        <v>931</v>
      </c>
      <c r="E39" s="489" t="s">
        <v>988</v>
      </c>
    </row>
    <row r="40" spans="1:5" s="452" customFormat="1" ht="84" hidden="1" customHeight="1" x14ac:dyDescent="0.2">
      <c r="A40" s="683" t="s">
        <v>579</v>
      </c>
      <c r="B40" s="745" t="s">
        <v>78</v>
      </c>
      <c r="C40" s="739"/>
      <c r="D40" s="746" t="s">
        <v>868</v>
      </c>
      <c r="E40" s="489" t="s">
        <v>898</v>
      </c>
    </row>
    <row r="41" spans="1:5" s="452" customFormat="1" ht="73.150000000000006" customHeight="1" x14ac:dyDescent="0.2">
      <c r="A41" s="683" t="s">
        <v>579</v>
      </c>
      <c r="B41" s="745" t="s">
        <v>78</v>
      </c>
      <c r="C41" s="739">
        <v>27750</v>
      </c>
      <c r="D41" s="803" t="s">
        <v>933</v>
      </c>
      <c r="E41" s="489" t="s">
        <v>978</v>
      </c>
    </row>
    <row r="42" spans="1:5" s="452" customFormat="1" ht="45" hidden="1" customHeight="1" x14ac:dyDescent="0.2">
      <c r="A42" s="683" t="s">
        <v>579</v>
      </c>
      <c r="B42" s="745" t="s">
        <v>84</v>
      </c>
      <c r="C42" s="739"/>
      <c r="D42" s="627" t="s">
        <v>590</v>
      </c>
      <c r="E42" s="489" t="s">
        <v>591</v>
      </c>
    </row>
    <row r="43" spans="1:5" s="452" customFormat="1" ht="4.9000000000000004" hidden="1" customHeight="1" x14ac:dyDescent="0.2">
      <c r="A43" s="683" t="s">
        <v>579</v>
      </c>
      <c r="B43" s="745" t="s">
        <v>592</v>
      </c>
      <c r="C43" s="488"/>
      <c r="D43" s="803" t="s">
        <v>867</v>
      </c>
      <c r="E43" s="489" t="s">
        <v>917</v>
      </c>
    </row>
    <row r="44" spans="1:5" s="452" customFormat="1" ht="97.9" customHeight="1" x14ac:dyDescent="0.2">
      <c r="A44" s="683" t="s">
        <v>579</v>
      </c>
      <c r="B44" s="745" t="s">
        <v>592</v>
      </c>
      <c r="C44" s="488">
        <f>146000+35000</f>
        <v>181000</v>
      </c>
      <c r="D44" s="803" t="s">
        <v>932</v>
      </c>
      <c r="E44" s="489" t="s">
        <v>955</v>
      </c>
    </row>
    <row r="45" spans="1:5" s="452" customFormat="1" ht="68.45" customHeight="1" x14ac:dyDescent="0.2">
      <c r="A45" s="683" t="s">
        <v>579</v>
      </c>
      <c r="B45" s="745" t="s">
        <v>87</v>
      </c>
      <c r="C45" s="488">
        <f>80000-26735</f>
        <v>53265</v>
      </c>
      <c r="D45" s="488" t="s">
        <v>929</v>
      </c>
      <c r="E45" s="489" t="s">
        <v>980</v>
      </c>
    </row>
    <row r="46" spans="1:5" s="452" customFormat="1" ht="39.6" hidden="1" customHeight="1" x14ac:dyDescent="0.2">
      <c r="A46" s="683" t="s">
        <v>579</v>
      </c>
      <c r="B46" s="745" t="s">
        <v>87</v>
      </c>
      <c r="C46" s="488"/>
      <c r="D46" s="488" t="s">
        <v>929</v>
      </c>
      <c r="E46" s="698" t="s">
        <v>956</v>
      </c>
    </row>
    <row r="47" spans="1:5" s="452" customFormat="1" ht="96.6" customHeight="1" x14ac:dyDescent="0.2">
      <c r="A47" s="694" t="s">
        <v>579</v>
      </c>
      <c r="B47" s="751" t="s">
        <v>87</v>
      </c>
      <c r="C47" s="488">
        <v>195000</v>
      </c>
      <c r="D47" s="488" t="s">
        <v>960</v>
      </c>
      <c r="E47" s="698" t="s">
        <v>966</v>
      </c>
    </row>
    <row r="48" spans="1:5" s="452" customFormat="1" ht="48.6" customHeight="1" x14ac:dyDescent="0.2">
      <c r="A48" s="683" t="s">
        <v>579</v>
      </c>
      <c r="B48" s="745" t="s">
        <v>87</v>
      </c>
      <c r="C48" s="488">
        <v>18900</v>
      </c>
      <c r="D48" s="488" t="s">
        <v>960</v>
      </c>
      <c r="E48" s="489" t="s">
        <v>979</v>
      </c>
    </row>
    <row r="49" spans="1:6" s="452" customFormat="1" ht="58.15" customHeight="1" x14ac:dyDescent="0.2">
      <c r="A49" s="683" t="s">
        <v>579</v>
      </c>
      <c r="B49" s="751" t="s">
        <v>96</v>
      </c>
      <c r="C49" s="488">
        <v>-18900</v>
      </c>
      <c r="D49" s="488" t="s">
        <v>960</v>
      </c>
      <c r="E49" s="698" t="s">
        <v>975</v>
      </c>
    </row>
    <row r="50" spans="1:6" s="452" customFormat="1" ht="104.25" hidden="1" customHeight="1" x14ac:dyDescent="0.2">
      <c r="A50" s="683" t="s">
        <v>579</v>
      </c>
      <c r="B50" s="745" t="s">
        <v>87</v>
      </c>
      <c r="C50" s="488"/>
      <c r="D50" s="781" t="s">
        <v>818</v>
      </c>
      <c r="E50" s="512" t="s">
        <v>834</v>
      </c>
    </row>
    <row r="51" spans="1:6" s="452" customFormat="1" ht="113.45" hidden="1" customHeight="1" x14ac:dyDescent="0.2">
      <c r="A51" s="683" t="s">
        <v>579</v>
      </c>
      <c r="B51" s="745" t="s">
        <v>87</v>
      </c>
      <c r="C51" s="488"/>
      <c r="D51" s="781" t="s">
        <v>818</v>
      </c>
      <c r="E51" s="697" t="s">
        <v>821</v>
      </c>
    </row>
    <row r="52" spans="1:6" s="452" customFormat="1" ht="42" hidden="1" customHeight="1" x14ac:dyDescent="0.2">
      <c r="A52" s="683" t="s">
        <v>579</v>
      </c>
      <c r="B52" s="745" t="s">
        <v>87</v>
      </c>
      <c r="C52" s="488"/>
      <c r="D52" s="781" t="s">
        <v>818</v>
      </c>
      <c r="E52" s="695" t="s">
        <v>822</v>
      </c>
    </row>
    <row r="53" spans="1:6" s="452" customFormat="1" ht="45" hidden="1" customHeight="1" x14ac:dyDescent="0.2">
      <c r="A53" s="683" t="s">
        <v>579</v>
      </c>
      <c r="B53" s="751" t="s">
        <v>87</v>
      </c>
      <c r="C53" s="753"/>
      <c r="D53" s="781" t="s">
        <v>818</v>
      </c>
      <c r="E53" s="489" t="s">
        <v>823</v>
      </c>
      <c r="F53" s="452">
        <v>49601</v>
      </c>
    </row>
    <row r="54" spans="1:6" s="452" customFormat="1" ht="62.45" hidden="1" customHeight="1" x14ac:dyDescent="0.2">
      <c r="A54" s="683" t="s">
        <v>579</v>
      </c>
      <c r="B54" s="745" t="s">
        <v>820</v>
      </c>
      <c r="C54" s="754"/>
      <c r="D54" s="781" t="s">
        <v>818</v>
      </c>
      <c r="E54" s="489" t="s">
        <v>832</v>
      </c>
    </row>
    <row r="55" spans="1:6" s="452" customFormat="1" ht="31.5" hidden="1" customHeight="1" x14ac:dyDescent="0.2">
      <c r="A55" s="683" t="s">
        <v>579</v>
      </c>
      <c r="B55" s="745" t="s">
        <v>87</v>
      </c>
      <c r="C55" s="488"/>
      <c r="D55" s="781" t="s">
        <v>818</v>
      </c>
      <c r="E55" s="489" t="s">
        <v>679</v>
      </c>
    </row>
    <row r="56" spans="1:6" s="452" customFormat="1" ht="31.5" hidden="1" customHeight="1" x14ac:dyDescent="0.2">
      <c r="A56" s="683" t="s">
        <v>579</v>
      </c>
      <c r="B56" s="745" t="s">
        <v>87</v>
      </c>
      <c r="C56" s="488"/>
      <c r="D56" s="781" t="s">
        <v>659</v>
      </c>
      <c r="E56" s="489" t="s">
        <v>680</v>
      </c>
    </row>
    <row r="57" spans="1:6" s="452" customFormat="1" ht="67.150000000000006" hidden="1" customHeight="1" x14ac:dyDescent="0.2">
      <c r="A57" s="683" t="s">
        <v>579</v>
      </c>
      <c r="B57" s="745" t="s">
        <v>87</v>
      </c>
      <c r="C57" s="488"/>
      <c r="D57" s="781" t="s">
        <v>659</v>
      </c>
      <c r="E57" s="489" t="s">
        <v>959</v>
      </c>
    </row>
    <row r="58" spans="1:6" s="452" customFormat="1" ht="15.75" hidden="1" customHeight="1" x14ac:dyDescent="0.2">
      <c r="A58" s="683" t="s">
        <v>579</v>
      </c>
      <c r="B58" s="745"/>
      <c r="C58" s="488"/>
      <c r="D58" s="781"/>
      <c r="E58" s="489"/>
    </row>
    <row r="59" spans="1:6" s="452" customFormat="1" ht="63" hidden="1" customHeight="1" x14ac:dyDescent="0.2">
      <c r="A59" s="683" t="s">
        <v>579</v>
      </c>
      <c r="B59" s="745" t="s">
        <v>594</v>
      </c>
      <c r="C59" s="488"/>
      <c r="D59" s="781" t="s">
        <v>585</v>
      </c>
      <c r="E59" s="489" t="s">
        <v>595</v>
      </c>
    </row>
    <row r="60" spans="1:6" s="452" customFormat="1" ht="15.75" hidden="1" customHeight="1" x14ac:dyDescent="0.2">
      <c r="A60" s="683" t="s">
        <v>579</v>
      </c>
      <c r="B60" s="745" t="s">
        <v>96</v>
      </c>
      <c r="C60" s="488"/>
      <c r="D60" s="781" t="s">
        <v>585</v>
      </c>
      <c r="E60" s="749" t="s">
        <v>596</v>
      </c>
    </row>
    <row r="61" spans="1:6" s="452" customFormat="1" ht="63" hidden="1" customHeight="1" x14ac:dyDescent="0.2">
      <c r="A61" s="683" t="s">
        <v>579</v>
      </c>
      <c r="B61" s="745" t="s">
        <v>96</v>
      </c>
      <c r="C61" s="488"/>
      <c r="D61" s="781" t="s">
        <v>585</v>
      </c>
      <c r="E61" s="489" t="s">
        <v>597</v>
      </c>
    </row>
    <row r="62" spans="1:6" s="461" customFormat="1" ht="63" hidden="1" customHeight="1" x14ac:dyDescent="0.2">
      <c r="A62" s="683" t="s">
        <v>579</v>
      </c>
      <c r="B62" s="745" t="s">
        <v>96</v>
      </c>
      <c r="C62" s="488"/>
      <c r="D62" s="781" t="s">
        <v>585</v>
      </c>
      <c r="E62" s="489" t="s">
        <v>598</v>
      </c>
    </row>
    <row r="63" spans="1:6" s="461" customFormat="1" ht="78.75" hidden="1" customHeight="1" x14ac:dyDescent="0.2">
      <c r="A63" s="683" t="s">
        <v>579</v>
      </c>
      <c r="B63" s="745" t="s">
        <v>96</v>
      </c>
      <c r="C63" s="488"/>
      <c r="D63" s="781" t="s">
        <v>580</v>
      </c>
      <c r="E63" s="489" t="s">
        <v>661</v>
      </c>
    </row>
    <row r="64" spans="1:6" s="461" customFormat="1" ht="75" hidden="1" customHeight="1" x14ac:dyDescent="0.2">
      <c r="A64" s="683" t="s">
        <v>579</v>
      </c>
      <c r="B64" s="745" t="s">
        <v>104</v>
      </c>
      <c r="C64" s="488"/>
      <c r="D64" s="781" t="s">
        <v>827</v>
      </c>
      <c r="E64" s="750" t="s">
        <v>836</v>
      </c>
    </row>
    <row r="65" spans="1:6" s="461" customFormat="1" ht="47.45" hidden="1" customHeight="1" x14ac:dyDescent="0.2">
      <c r="A65" s="683" t="s">
        <v>579</v>
      </c>
      <c r="B65" s="745" t="s">
        <v>104</v>
      </c>
      <c r="C65" s="488"/>
      <c r="D65" s="781" t="s">
        <v>827</v>
      </c>
      <c r="E65" s="489" t="s">
        <v>817</v>
      </c>
    </row>
    <row r="66" spans="1:6" s="461" customFormat="1" ht="82.15" hidden="1" customHeight="1" x14ac:dyDescent="0.2">
      <c r="A66" s="683" t="s">
        <v>579</v>
      </c>
      <c r="B66" s="745" t="s">
        <v>104</v>
      </c>
      <c r="C66" s="488"/>
      <c r="D66" s="488" t="s">
        <v>888</v>
      </c>
      <c r="E66" s="489" t="s">
        <v>908</v>
      </c>
    </row>
    <row r="67" spans="1:6" s="452" customFormat="1" ht="85.9" hidden="1" customHeight="1" x14ac:dyDescent="0.2">
      <c r="A67" s="683" t="s">
        <v>579</v>
      </c>
      <c r="B67" s="745" t="s">
        <v>104</v>
      </c>
      <c r="C67" s="488"/>
      <c r="D67" s="488" t="s">
        <v>878</v>
      </c>
      <c r="E67" s="489" t="s">
        <v>865</v>
      </c>
    </row>
    <row r="68" spans="1:6" s="452" customFormat="1" ht="71.45" hidden="1" customHeight="1" x14ac:dyDescent="0.2">
      <c r="A68" s="683" t="s">
        <v>579</v>
      </c>
      <c r="B68" s="745" t="s">
        <v>104</v>
      </c>
      <c r="C68" s="488"/>
      <c r="D68" s="488" t="s">
        <v>827</v>
      </c>
      <c r="E68" s="489" t="s">
        <v>866</v>
      </c>
    </row>
    <row r="69" spans="1:6" s="452" customFormat="1" ht="60" customHeight="1" x14ac:dyDescent="0.2">
      <c r="A69" s="683" t="s">
        <v>579</v>
      </c>
      <c r="B69" s="745" t="s">
        <v>104</v>
      </c>
      <c r="C69" s="488">
        <f>-268750-53265</f>
        <v>-322015</v>
      </c>
      <c r="D69" s="488" t="s">
        <v>929</v>
      </c>
      <c r="E69" s="489" t="s">
        <v>981</v>
      </c>
    </row>
    <row r="70" spans="1:6" s="452" customFormat="1" ht="94.5" hidden="1" customHeight="1" x14ac:dyDescent="0.2">
      <c r="A70" s="683" t="s">
        <v>579</v>
      </c>
      <c r="B70" s="745" t="s">
        <v>870</v>
      </c>
      <c r="C70" s="783"/>
      <c r="D70" s="488" t="s">
        <v>874</v>
      </c>
      <c r="E70" s="512" t="s">
        <v>887</v>
      </c>
    </row>
    <row r="71" spans="1:6" s="452" customFormat="1" ht="91.15" hidden="1" customHeight="1" x14ac:dyDescent="0.2">
      <c r="A71" s="683" t="s">
        <v>579</v>
      </c>
      <c r="B71" s="745" t="s">
        <v>124</v>
      </c>
      <c r="C71" s="753"/>
      <c r="D71" s="456" t="s">
        <v>885</v>
      </c>
      <c r="E71" s="489" t="s">
        <v>886</v>
      </c>
    </row>
    <row r="72" spans="1:6" s="452" customFormat="1" ht="94.5" hidden="1" customHeight="1" x14ac:dyDescent="0.2">
      <c r="A72" s="683" t="s">
        <v>579</v>
      </c>
      <c r="B72" s="745" t="s">
        <v>599</v>
      </c>
      <c r="C72" s="753"/>
      <c r="D72" s="488" t="s">
        <v>600</v>
      </c>
      <c r="E72" s="512" t="s">
        <v>601</v>
      </c>
    </row>
    <row r="73" spans="1:6" s="452" customFormat="1" ht="78.75" hidden="1" customHeight="1" x14ac:dyDescent="0.2">
      <c r="A73" s="683" t="s">
        <v>579</v>
      </c>
      <c r="B73" s="745" t="s">
        <v>599</v>
      </c>
      <c r="C73" s="753"/>
      <c r="D73" s="746" t="s">
        <v>602</v>
      </c>
      <c r="E73" s="512" t="s">
        <v>603</v>
      </c>
      <c r="F73" s="452">
        <v>673</v>
      </c>
    </row>
    <row r="74" spans="1:6" s="452" customFormat="1" ht="63" hidden="1" customHeight="1" x14ac:dyDescent="0.2">
      <c r="A74" s="683" t="s">
        <v>579</v>
      </c>
      <c r="B74" s="745" t="s">
        <v>599</v>
      </c>
      <c r="C74" s="753"/>
      <c r="D74" s="746" t="s">
        <v>604</v>
      </c>
      <c r="E74" s="512" t="s">
        <v>605</v>
      </c>
    </row>
    <row r="75" spans="1:6" s="452" customFormat="1" ht="47.25" hidden="1" customHeight="1" x14ac:dyDescent="0.2">
      <c r="A75" s="683" t="s">
        <v>579</v>
      </c>
      <c r="B75" s="745" t="s">
        <v>599</v>
      </c>
      <c r="C75" s="753"/>
      <c r="D75" s="746" t="s">
        <v>604</v>
      </c>
      <c r="E75" s="512" t="s">
        <v>606</v>
      </c>
    </row>
    <row r="76" spans="1:6" s="452" customFormat="1" ht="76.900000000000006" hidden="1" customHeight="1" x14ac:dyDescent="0.2">
      <c r="A76" s="683" t="s">
        <v>608</v>
      </c>
      <c r="B76" s="745" t="s">
        <v>609</v>
      </c>
      <c r="C76" s="488"/>
      <c r="D76" s="488" t="s">
        <v>844</v>
      </c>
      <c r="E76" s="489" t="s">
        <v>850</v>
      </c>
    </row>
    <row r="77" spans="1:6" s="452" customFormat="1" ht="63" customHeight="1" x14ac:dyDescent="0.2">
      <c r="A77" s="683" t="s">
        <v>608</v>
      </c>
      <c r="B77" s="745" t="s">
        <v>609</v>
      </c>
      <c r="C77" s="488">
        <v>105635</v>
      </c>
      <c r="D77" s="488" t="s">
        <v>950</v>
      </c>
      <c r="E77" s="489" t="s">
        <v>949</v>
      </c>
    </row>
    <row r="78" spans="1:6" s="452" customFormat="1" ht="78.75" customHeight="1" x14ac:dyDescent="0.2">
      <c r="A78" s="683" t="s">
        <v>608</v>
      </c>
      <c r="B78" s="745" t="s">
        <v>609</v>
      </c>
      <c r="C78" s="488">
        <v>-60000</v>
      </c>
      <c r="D78" s="746" t="s">
        <v>950</v>
      </c>
      <c r="E78" s="512" t="s">
        <v>948</v>
      </c>
    </row>
    <row r="79" spans="1:6" s="452" customFormat="1" ht="66" customHeight="1" x14ac:dyDescent="0.2">
      <c r="A79" s="683" t="s">
        <v>608</v>
      </c>
      <c r="B79" s="745" t="s">
        <v>609</v>
      </c>
      <c r="C79" s="488">
        <v>-112376</v>
      </c>
      <c r="D79" s="488" t="s">
        <v>937</v>
      </c>
      <c r="E79" s="512" t="s">
        <v>982</v>
      </c>
    </row>
    <row r="80" spans="1:6" s="452" customFormat="1" ht="84" customHeight="1" x14ac:dyDescent="0.2">
      <c r="A80" s="683" t="s">
        <v>608</v>
      </c>
      <c r="B80" s="745" t="s">
        <v>146</v>
      </c>
      <c r="C80" s="488">
        <v>-99500</v>
      </c>
      <c r="D80" s="488" t="s">
        <v>938</v>
      </c>
      <c r="E80" s="512" t="s">
        <v>934</v>
      </c>
    </row>
    <row r="81" spans="1:5" s="452" customFormat="1" ht="87.6" customHeight="1" x14ac:dyDescent="0.2">
      <c r="A81" s="683" t="s">
        <v>608</v>
      </c>
      <c r="B81" s="745" t="s">
        <v>146</v>
      </c>
      <c r="C81" s="488">
        <v>-45635</v>
      </c>
      <c r="D81" s="746" t="s">
        <v>950</v>
      </c>
      <c r="E81" s="512" t="s">
        <v>947</v>
      </c>
    </row>
    <row r="82" spans="1:5" s="452" customFormat="1" ht="78.75" hidden="1" x14ac:dyDescent="0.2">
      <c r="A82" s="683" t="s">
        <v>608</v>
      </c>
      <c r="B82" s="745" t="s">
        <v>771</v>
      </c>
      <c r="C82" s="753"/>
      <c r="D82" s="488" t="s">
        <v>845</v>
      </c>
      <c r="E82" s="489" t="s">
        <v>851</v>
      </c>
    </row>
    <row r="83" spans="1:5" s="452" customFormat="1" ht="67.150000000000006" hidden="1" customHeight="1" x14ac:dyDescent="0.2">
      <c r="A83" s="683" t="s">
        <v>608</v>
      </c>
      <c r="B83" s="745" t="s">
        <v>771</v>
      </c>
      <c r="C83" s="488"/>
      <c r="D83" s="488" t="s">
        <v>846</v>
      </c>
      <c r="E83" s="489" t="s">
        <v>863</v>
      </c>
    </row>
    <row r="84" spans="1:5" s="452" customFormat="1" ht="123" hidden="1" customHeight="1" x14ac:dyDescent="0.2">
      <c r="A84" s="683" t="s">
        <v>608</v>
      </c>
      <c r="B84" s="745" t="s">
        <v>771</v>
      </c>
      <c r="C84" s="488"/>
      <c r="D84" s="488" t="s">
        <v>852</v>
      </c>
      <c r="E84" s="512" t="s">
        <v>858</v>
      </c>
    </row>
    <row r="85" spans="1:5" s="452" customFormat="1" ht="78.75" hidden="1" customHeight="1" x14ac:dyDescent="0.2">
      <c r="A85" s="694" t="s">
        <v>608</v>
      </c>
      <c r="B85" s="751" t="s">
        <v>611</v>
      </c>
      <c r="C85" s="488"/>
      <c r="D85" s="746" t="s">
        <v>612</v>
      </c>
      <c r="E85" s="489" t="s">
        <v>613</v>
      </c>
    </row>
    <row r="86" spans="1:5" s="452" customFormat="1" ht="90" hidden="1" customHeight="1" x14ac:dyDescent="0.2">
      <c r="A86" s="683" t="s">
        <v>614</v>
      </c>
      <c r="B86" s="745" t="s">
        <v>771</v>
      </c>
      <c r="C86" s="753"/>
      <c r="D86" s="746" t="s">
        <v>819</v>
      </c>
      <c r="E86" s="489" t="s">
        <v>824</v>
      </c>
    </row>
    <row r="87" spans="1:5" s="452" customFormat="1" ht="102.6" hidden="1" customHeight="1" x14ac:dyDescent="0.2">
      <c r="A87" s="683" t="s">
        <v>614</v>
      </c>
      <c r="B87" s="745" t="s">
        <v>146</v>
      </c>
      <c r="C87" s="488"/>
      <c r="D87" s="488" t="s">
        <v>876</v>
      </c>
      <c r="E87" s="489" t="s">
        <v>910</v>
      </c>
    </row>
    <row r="88" spans="1:5" s="452" customFormat="1" ht="141" hidden="1" customHeight="1" x14ac:dyDescent="0.2">
      <c r="A88" s="683" t="s">
        <v>614</v>
      </c>
      <c r="B88" s="745" t="s">
        <v>146</v>
      </c>
      <c r="C88" s="488"/>
      <c r="D88" s="488" t="s">
        <v>876</v>
      </c>
      <c r="E88" s="489" t="s">
        <v>911</v>
      </c>
    </row>
    <row r="89" spans="1:5" s="452" customFormat="1" ht="47.25" hidden="1" customHeight="1" x14ac:dyDescent="0.2">
      <c r="A89" s="683" t="s">
        <v>614</v>
      </c>
      <c r="B89" s="745" t="s">
        <v>611</v>
      </c>
      <c r="C89" s="488"/>
      <c r="D89" s="746" t="s">
        <v>615</v>
      </c>
      <c r="E89" s="512" t="s">
        <v>616</v>
      </c>
    </row>
    <row r="90" spans="1:5" s="452" customFormat="1" ht="47.25" hidden="1" customHeight="1" x14ac:dyDescent="0.2">
      <c r="A90" s="683" t="s">
        <v>608</v>
      </c>
      <c r="B90" s="745" t="s">
        <v>611</v>
      </c>
      <c r="C90" s="488"/>
      <c r="D90" s="746" t="s">
        <v>615</v>
      </c>
      <c r="E90" s="512" t="s">
        <v>617</v>
      </c>
    </row>
    <row r="91" spans="1:5" s="452" customFormat="1" ht="47.25" hidden="1" customHeight="1" x14ac:dyDescent="0.2">
      <c r="A91" s="683" t="s">
        <v>614</v>
      </c>
      <c r="B91" s="745" t="s">
        <v>611</v>
      </c>
      <c r="C91" s="488"/>
      <c r="D91" s="752" t="s">
        <v>615</v>
      </c>
      <c r="E91" s="489" t="s">
        <v>618</v>
      </c>
    </row>
    <row r="92" spans="1:5" s="452" customFormat="1" ht="47.25" hidden="1" customHeight="1" x14ac:dyDescent="0.2">
      <c r="A92" s="683" t="s">
        <v>614</v>
      </c>
      <c r="B92" s="745" t="s">
        <v>611</v>
      </c>
      <c r="C92" s="488"/>
      <c r="D92" s="752" t="s">
        <v>615</v>
      </c>
      <c r="E92" s="489" t="s">
        <v>618</v>
      </c>
    </row>
    <row r="93" spans="1:5" s="452" customFormat="1" ht="63" hidden="1" customHeight="1" x14ac:dyDescent="0.2">
      <c r="A93" s="683" t="s">
        <v>614</v>
      </c>
      <c r="B93" s="751" t="s">
        <v>783</v>
      </c>
      <c r="C93" s="488"/>
      <c r="D93" s="488" t="s">
        <v>876</v>
      </c>
      <c r="E93" s="489" t="s">
        <v>912</v>
      </c>
    </row>
    <row r="94" spans="1:5" s="452" customFormat="1" ht="81.599999999999994" hidden="1" customHeight="1" x14ac:dyDescent="0.2">
      <c r="A94" s="694" t="s">
        <v>614</v>
      </c>
      <c r="B94" s="751" t="s">
        <v>783</v>
      </c>
      <c r="C94" s="488"/>
      <c r="D94" s="488" t="s">
        <v>844</v>
      </c>
      <c r="E94" s="489" t="s">
        <v>859</v>
      </c>
    </row>
    <row r="95" spans="1:5" s="452" customFormat="1" ht="45.6" hidden="1" customHeight="1" x14ac:dyDescent="0.2">
      <c r="A95" s="683" t="s">
        <v>614</v>
      </c>
      <c r="B95" s="745" t="s">
        <v>619</v>
      </c>
      <c r="C95" s="488"/>
      <c r="D95" s="746" t="s">
        <v>620</v>
      </c>
      <c r="E95" s="512" t="s">
        <v>621</v>
      </c>
    </row>
    <row r="96" spans="1:5" s="448" customFormat="1" ht="66.599999999999994" hidden="1" customHeight="1" x14ac:dyDescent="0.2">
      <c r="A96" s="683" t="s">
        <v>614</v>
      </c>
      <c r="B96" s="745" t="s">
        <v>843</v>
      </c>
      <c r="C96" s="488"/>
      <c r="D96" s="488" t="s">
        <v>844</v>
      </c>
      <c r="E96" s="489" t="s">
        <v>860</v>
      </c>
    </row>
    <row r="97" spans="1:5" s="448" customFormat="1" ht="70.150000000000006" customHeight="1" x14ac:dyDescent="0.2">
      <c r="A97" s="683" t="s">
        <v>614</v>
      </c>
      <c r="B97" s="745" t="s">
        <v>843</v>
      </c>
      <c r="C97" s="488">
        <v>10000</v>
      </c>
      <c r="D97" s="488" t="s">
        <v>950</v>
      </c>
      <c r="E97" s="489" t="s">
        <v>952</v>
      </c>
    </row>
    <row r="98" spans="1:5" s="448" customFormat="1" ht="63" customHeight="1" x14ac:dyDescent="0.2">
      <c r="A98" s="683" t="s">
        <v>614</v>
      </c>
      <c r="B98" s="745" t="s">
        <v>157</v>
      </c>
      <c r="C98" s="488">
        <v>-10000</v>
      </c>
      <c r="D98" s="488" t="s">
        <v>950</v>
      </c>
      <c r="E98" s="489" t="s">
        <v>951</v>
      </c>
    </row>
    <row r="99" spans="1:5" s="452" customFormat="1" ht="47.25" hidden="1" customHeight="1" x14ac:dyDescent="0.2">
      <c r="A99" s="683" t="s">
        <v>614</v>
      </c>
      <c r="B99" s="745" t="s">
        <v>622</v>
      </c>
      <c r="C99" s="488"/>
      <c r="D99" s="746" t="s">
        <v>610</v>
      </c>
      <c r="E99" s="489" t="s">
        <v>623</v>
      </c>
    </row>
    <row r="100" spans="1:5" s="452" customFormat="1" ht="78.75" hidden="1" customHeight="1" x14ac:dyDescent="0.2">
      <c r="A100" s="683" t="s">
        <v>614</v>
      </c>
      <c r="B100" s="745" t="s">
        <v>622</v>
      </c>
      <c r="C100" s="488"/>
      <c r="D100" s="746" t="s">
        <v>610</v>
      </c>
      <c r="E100" s="489" t="s">
        <v>624</v>
      </c>
    </row>
    <row r="101" spans="1:5" s="452" customFormat="1" ht="47.25" hidden="1" customHeight="1" x14ac:dyDescent="0.2">
      <c r="A101" s="683" t="s">
        <v>614</v>
      </c>
      <c r="B101" s="745" t="s">
        <v>622</v>
      </c>
      <c r="C101" s="488"/>
      <c r="D101" s="746" t="s">
        <v>625</v>
      </c>
      <c r="E101" s="512" t="s">
        <v>626</v>
      </c>
    </row>
    <row r="102" spans="1:5" s="452" customFormat="1" ht="47.25" hidden="1" customHeight="1" x14ac:dyDescent="0.2">
      <c r="A102" s="683" t="s">
        <v>614</v>
      </c>
      <c r="B102" s="745" t="s">
        <v>627</v>
      </c>
      <c r="C102" s="488"/>
      <c r="D102" s="746" t="s">
        <v>610</v>
      </c>
      <c r="E102" s="512" t="s">
        <v>628</v>
      </c>
    </row>
    <row r="103" spans="1:5" s="452" customFormat="1" ht="94.5" hidden="1" x14ac:dyDescent="0.2">
      <c r="A103" s="683" t="s">
        <v>614</v>
      </c>
      <c r="B103" s="745" t="s">
        <v>455</v>
      </c>
      <c r="C103" s="488"/>
      <c r="D103" s="488" t="s">
        <v>787</v>
      </c>
      <c r="E103" s="489" t="s">
        <v>788</v>
      </c>
    </row>
    <row r="104" spans="1:5" s="452" customFormat="1" ht="99.6" hidden="1" customHeight="1" x14ac:dyDescent="0.2">
      <c r="A104" s="683" t="s">
        <v>614</v>
      </c>
      <c r="B104" s="745" t="s">
        <v>883</v>
      </c>
      <c r="C104" s="488"/>
      <c r="D104" s="488" t="s">
        <v>876</v>
      </c>
      <c r="E104" s="784" t="s">
        <v>899</v>
      </c>
    </row>
    <row r="105" spans="1:5" s="452" customFormat="1" ht="107.45" hidden="1" customHeight="1" x14ac:dyDescent="0.2">
      <c r="A105" s="683" t="s">
        <v>614</v>
      </c>
      <c r="B105" s="745" t="s">
        <v>875</v>
      </c>
      <c r="C105" s="755"/>
      <c r="D105" s="488" t="s">
        <v>876</v>
      </c>
      <c r="E105" s="615" t="s">
        <v>900</v>
      </c>
    </row>
    <row r="106" spans="1:5" s="452" customFormat="1" ht="78.75" hidden="1" x14ac:dyDescent="0.2">
      <c r="A106" s="683" t="s">
        <v>614</v>
      </c>
      <c r="B106" s="745" t="s">
        <v>875</v>
      </c>
      <c r="C106" s="488"/>
      <c r="D106" s="488"/>
      <c r="E106" s="489" t="s">
        <v>877</v>
      </c>
    </row>
    <row r="107" spans="1:5" s="452" customFormat="1" ht="67.900000000000006" hidden="1" customHeight="1" x14ac:dyDescent="0.2">
      <c r="A107" s="683" t="s">
        <v>614</v>
      </c>
      <c r="B107" s="745" t="s">
        <v>455</v>
      </c>
      <c r="C107" s="488"/>
      <c r="D107" s="488" t="s">
        <v>882</v>
      </c>
      <c r="E107" s="568" t="s">
        <v>901</v>
      </c>
    </row>
    <row r="108" spans="1:5" s="452" customFormat="1" ht="94.5" hidden="1" customHeight="1" x14ac:dyDescent="0.2">
      <c r="A108" s="744" t="s">
        <v>629</v>
      </c>
      <c r="B108" s="745" t="s">
        <v>723</v>
      </c>
      <c r="C108" s="488"/>
      <c r="D108" s="746" t="s">
        <v>772</v>
      </c>
      <c r="E108" s="489" t="s">
        <v>777</v>
      </c>
    </row>
    <row r="109" spans="1:5" s="452" customFormat="1" ht="110.25" hidden="1" customHeight="1" x14ac:dyDescent="0.2">
      <c r="A109" s="744" t="s">
        <v>629</v>
      </c>
      <c r="B109" s="745" t="s">
        <v>630</v>
      </c>
      <c r="C109" s="488"/>
      <c r="D109" s="488" t="s">
        <v>804</v>
      </c>
      <c r="E109" s="489" t="s">
        <v>803</v>
      </c>
    </row>
    <row r="110" spans="1:5" s="452" customFormat="1" ht="110.25" hidden="1" customHeight="1" x14ac:dyDescent="0.2">
      <c r="A110" s="744" t="s">
        <v>629</v>
      </c>
      <c r="B110" s="745" t="s">
        <v>715</v>
      </c>
      <c r="C110" s="488"/>
      <c r="D110" s="488" t="s">
        <v>716</v>
      </c>
      <c r="E110" s="489" t="s">
        <v>717</v>
      </c>
    </row>
    <row r="111" spans="1:5" s="452" customFormat="1" ht="78.75" hidden="1" customHeight="1" x14ac:dyDescent="0.2">
      <c r="A111" s="744" t="s">
        <v>629</v>
      </c>
      <c r="B111" s="745" t="s">
        <v>631</v>
      </c>
      <c r="C111" s="488"/>
      <c r="D111" s="488" t="s">
        <v>716</v>
      </c>
      <c r="E111" s="489" t="s">
        <v>749</v>
      </c>
    </row>
    <row r="112" spans="1:5" s="452" customFormat="1" ht="122.45" hidden="1" customHeight="1" x14ac:dyDescent="0.2">
      <c r="A112" s="744" t="s">
        <v>629</v>
      </c>
      <c r="B112" s="745" t="s">
        <v>631</v>
      </c>
      <c r="C112" s="488"/>
      <c r="D112" s="488" t="s">
        <v>831</v>
      </c>
      <c r="E112" s="489" t="s">
        <v>838</v>
      </c>
    </row>
    <row r="113" spans="1:5" s="452" customFormat="1" ht="63" hidden="1" customHeight="1" x14ac:dyDescent="0.2">
      <c r="A113" s="744" t="s">
        <v>629</v>
      </c>
      <c r="B113" s="745" t="s">
        <v>631</v>
      </c>
      <c r="C113" s="488"/>
      <c r="D113" s="488" t="s">
        <v>658</v>
      </c>
      <c r="E113" s="489" t="s">
        <v>681</v>
      </c>
    </row>
    <row r="114" spans="1:5" s="452" customFormat="1" ht="63" hidden="1" customHeight="1" x14ac:dyDescent="0.2">
      <c r="A114" s="744" t="s">
        <v>629</v>
      </c>
      <c r="B114" s="745" t="s">
        <v>631</v>
      </c>
      <c r="C114" s="488"/>
      <c r="D114" s="488" t="s">
        <v>658</v>
      </c>
      <c r="E114" s="489" t="s">
        <v>682</v>
      </c>
    </row>
    <row r="115" spans="1:5" s="452" customFormat="1" ht="100.9" customHeight="1" x14ac:dyDescent="0.2">
      <c r="A115" s="744" t="s">
        <v>629</v>
      </c>
      <c r="B115" s="745" t="s">
        <v>631</v>
      </c>
      <c r="C115" s="755">
        <v>-400000</v>
      </c>
      <c r="D115" s="488" t="s">
        <v>972</v>
      </c>
      <c r="E115" s="489" t="s">
        <v>986</v>
      </c>
    </row>
    <row r="116" spans="1:5" s="452" customFormat="1" ht="127.9" customHeight="1" x14ac:dyDescent="0.2">
      <c r="A116" s="744" t="s">
        <v>629</v>
      </c>
      <c r="B116" s="745" t="s">
        <v>631</v>
      </c>
      <c r="C116" s="488">
        <v>-102980</v>
      </c>
      <c r="D116" s="488" t="s">
        <v>971</v>
      </c>
      <c r="E116" s="489" t="s">
        <v>974</v>
      </c>
    </row>
    <row r="117" spans="1:5" s="452" customFormat="1" ht="199.15" customHeight="1" x14ac:dyDescent="0.2">
      <c r="A117" s="744" t="s">
        <v>629</v>
      </c>
      <c r="B117" s="745" t="s">
        <v>631</v>
      </c>
      <c r="C117" s="488">
        <v>102980</v>
      </c>
      <c r="D117" s="488" t="s">
        <v>971</v>
      </c>
      <c r="E117" s="489" t="s">
        <v>973</v>
      </c>
    </row>
    <row r="118" spans="1:5" s="452" customFormat="1" ht="94.5" hidden="1" x14ac:dyDescent="0.2">
      <c r="A118" s="744" t="s">
        <v>629</v>
      </c>
      <c r="B118" s="745" t="s">
        <v>631</v>
      </c>
      <c r="C118" s="488"/>
      <c r="D118" s="488" t="s">
        <v>842</v>
      </c>
      <c r="E118" s="489" t="s">
        <v>839</v>
      </c>
    </row>
    <row r="119" spans="1:5" s="452" customFormat="1" ht="97.9" hidden="1" customHeight="1" x14ac:dyDescent="0.2">
      <c r="A119" s="744" t="s">
        <v>629</v>
      </c>
      <c r="B119" s="745" t="s">
        <v>632</v>
      </c>
      <c r="C119" s="488"/>
      <c r="D119" s="746" t="s">
        <v>816</v>
      </c>
      <c r="E119" s="489" t="s">
        <v>833</v>
      </c>
    </row>
    <row r="120" spans="1:5" s="452" customFormat="1" ht="47.25" customHeight="1" x14ac:dyDescent="0.2">
      <c r="A120" s="744" t="s">
        <v>629</v>
      </c>
      <c r="B120" s="745" t="s">
        <v>632</v>
      </c>
      <c r="C120" s="488">
        <v>50000</v>
      </c>
      <c r="D120" s="488" t="s">
        <v>739</v>
      </c>
      <c r="E120" s="489" t="s">
        <v>977</v>
      </c>
    </row>
    <row r="121" spans="1:5" s="452" customFormat="1" ht="47.25" hidden="1" customHeight="1" x14ac:dyDescent="0.2">
      <c r="A121" s="744" t="s">
        <v>629</v>
      </c>
      <c r="B121" s="745" t="s">
        <v>632</v>
      </c>
      <c r="C121" s="488"/>
      <c r="D121" s="746" t="s">
        <v>769</v>
      </c>
      <c r="E121" s="489" t="s">
        <v>775</v>
      </c>
    </row>
    <row r="122" spans="1:5" s="452" customFormat="1" ht="78.75" hidden="1" customHeight="1" x14ac:dyDescent="0.2">
      <c r="A122" s="744" t="s">
        <v>629</v>
      </c>
      <c r="B122" s="745" t="s">
        <v>632</v>
      </c>
      <c r="C122" s="488"/>
      <c r="D122" s="488" t="s">
        <v>739</v>
      </c>
      <c r="E122" s="489" t="s">
        <v>683</v>
      </c>
    </row>
    <row r="123" spans="1:5" s="452" customFormat="1" ht="63" hidden="1" customHeight="1" x14ac:dyDescent="0.2">
      <c r="A123" s="744" t="s">
        <v>629</v>
      </c>
      <c r="B123" s="745" t="s">
        <v>632</v>
      </c>
      <c r="C123" s="488"/>
      <c r="D123" s="746" t="s">
        <v>769</v>
      </c>
      <c r="E123" s="489" t="s">
        <v>768</v>
      </c>
    </row>
    <row r="124" spans="1:5" s="452" customFormat="1" ht="63" hidden="1" customHeight="1" x14ac:dyDescent="0.2">
      <c r="A124" s="744" t="s">
        <v>629</v>
      </c>
      <c r="B124" s="745" t="s">
        <v>632</v>
      </c>
      <c r="C124" s="488"/>
      <c r="D124" s="488" t="s">
        <v>739</v>
      </c>
      <c r="E124" s="489" t="s">
        <v>684</v>
      </c>
    </row>
    <row r="125" spans="1:5" s="452" customFormat="1" ht="47.25" hidden="1" customHeight="1" x14ac:dyDescent="0.2">
      <c r="A125" s="744" t="s">
        <v>629</v>
      </c>
      <c r="B125" s="745" t="s">
        <v>632</v>
      </c>
      <c r="C125" s="488"/>
      <c r="D125" s="488" t="s">
        <v>739</v>
      </c>
      <c r="E125" s="489" t="s">
        <v>685</v>
      </c>
    </row>
    <row r="126" spans="1:5" s="452" customFormat="1" ht="63" hidden="1" customHeight="1" x14ac:dyDescent="0.2">
      <c r="A126" s="744" t="s">
        <v>629</v>
      </c>
      <c r="B126" s="745" t="s">
        <v>632</v>
      </c>
      <c r="C126" s="488"/>
      <c r="D126" s="488" t="s">
        <v>739</v>
      </c>
      <c r="E126" s="489" t="s">
        <v>686</v>
      </c>
    </row>
    <row r="127" spans="1:5" s="452" customFormat="1" ht="47.25" hidden="1" customHeight="1" x14ac:dyDescent="0.2">
      <c r="A127" s="744" t="s">
        <v>629</v>
      </c>
      <c r="B127" s="745" t="s">
        <v>632</v>
      </c>
      <c r="C127" s="488"/>
      <c r="D127" s="488" t="s">
        <v>739</v>
      </c>
      <c r="E127" s="489" t="s">
        <v>687</v>
      </c>
    </row>
    <row r="128" spans="1:5" s="452" customFormat="1" ht="63" hidden="1" customHeight="1" x14ac:dyDescent="0.2">
      <c r="A128" s="744" t="s">
        <v>629</v>
      </c>
      <c r="B128" s="745" t="s">
        <v>632</v>
      </c>
      <c r="C128" s="755"/>
      <c r="D128" s="488" t="s">
        <v>739</v>
      </c>
      <c r="E128" s="489" t="s">
        <v>857</v>
      </c>
    </row>
    <row r="129" spans="1:5" s="452" customFormat="1" ht="63" customHeight="1" x14ac:dyDescent="0.2">
      <c r="A129" s="744" t="s">
        <v>629</v>
      </c>
      <c r="B129" s="745" t="s">
        <v>632</v>
      </c>
      <c r="C129" s="755">
        <v>18300</v>
      </c>
      <c r="D129" s="488" t="s">
        <v>918</v>
      </c>
      <c r="E129" s="489" t="s">
        <v>976</v>
      </c>
    </row>
    <row r="130" spans="1:5" s="452" customFormat="1" ht="78.75" customHeight="1" x14ac:dyDescent="0.2">
      <c r="A130" s="744" t="s">
        <v>629</v>
      </c>
      <c r="B130" s="745" t="s">
        <v>632</v>
      </c>
      <c r="C130" s="755">
        <v>31700</v>
      </c>
      <c r="D130" s="488" t="s">
        <v>918</v>
      </c>
      <c r="E130" s="489" t="s">
        <v>919</v>
      </c>
    </row>
    <row r="131" spans="1:5" s="452" customFormat="1" ht="78.75" customHeight="1" x14ac:dyDescent="0.2">
      <c r="A131" s="744" t="s">
        <v>629</v>
      </c>
      <c r="B131" s="745" t="s">
        <v>632</v>
      </c>
      <c r="C131" s="755">
        <v>50000</v>
      </c>
      <c r="D131" s="488" t="s">
        <v>923</v>
      </c>
      <c r="E131" s="489" t="s">
        <v>924</v>
      </c>
    </row>
    <row r="132" spans="1:5" s="452" customFormat="1" ht="100.9" customHeight="1" x14ac:dyDescent="0.2">
      <c r="A132" s="744" t="s">
        <v>629</v>
      </c>
      <c r="B132" s="745" t="s">
        <v>632</v>
      </c>
      <c r="C132" s="755">
        <v>200000</v>
      </c>
      <c r="D132" s="488" t="s">
        <v>923</v>
      </c>
      <c r="E132" s="489" t="s">
        <v>983</v>
      </c>
    </row>
    <row r="133" spans="1:5" s="452" customFormat="1" ht="83.45" customHeight="1" x14ac:dyDescent="0.2">
      <c r="A133" s="744" t="s">
        <v>629</v>
      </c>
      <c r="B133" s="745" t="s">
        <v>632</v>
      </c>
      <c r="C133" s="755">
        <v>150000</v>
      </c>
      <c r="D133" s="488" t="s">
        <v>923</v>
      </c>
      <c r="E133" s="489" t="s">
        <v>985</v>
      </c>
    </row>
    <row r="134" spans="1:5" s="452" customFormat="1" ht="63" hidden="1" x14ac:dyDescent="0.2">
      <c r="A134" s="744" t="s">
        <v>629</v>
      </c>
      <c r="B134" s="745" t="s">
        <v>632</v>
      </c>
      <c r="C134" s="755"/>
      <c r="D134" s="488" t="s">
        <v>923</v>
      </c>
      <c r="E134" s="489" t="s">
        <v>922</v>
      </c>
    </row>
    <row r="135" spans="1:5" s="452" customFormat="1" ht="63" hidden="1" customHeight="1" x14ac:dyDescent="0.2">
      <c r="A135" s="744" t="s">
        <v>629</v>
      </c>
      <c r="B135" s="745" t="s">
        <v>632</v>
      </c>
      <c r="C135" s="755"/>
      <c r="D135" s="488" t="s">
        <v>853</v>
      </c>
      <c r="E135" s="489" t="s">
        <v>849</v>
      </c>
    </row>
    <row r="136" spans="1:5" s="452" customFormat="1" ht="91.9" hidden="1" customHeight="1" x14ac:dyDescent="0.2">
      <c r="A136" s="744" t="s">
        <v>629</v>
      </c>
      <c r="B136" s="745" t="s">
        <v>632</v>
      </c>
      <c r="C136" s="755"/>
      <c r="D136" s="488" t="s">
        <v>853</v>
      </c>
      <c r="E136" s="489" t="s">
        <v>848</v>
      </c>
    </row>
    <row r="137" spans="1:5" s="452" customFormat="1" ht="63" hidden="1" customHeight="1" x14ac:dyDescent="0.2">
      <c r="A137" s="744" t="s">
        <v>629</v>
      </c>
      <c r="B137" s="745" t="s">
        <v>632</v>
      </c>
      <c r="C137" s="755"/>
      <c r="D137" s="488" t="s">
        <v>739</v>
      </c>
      <c r="E137" s="489" t="s">
        <v>714</v>
      </c>
    </row>
    <row r="138" spans="1:5" s="452" customFormat="1" ht="87" customHeight="1" x14ac:dyDescent="0.2">
      <c r="A138" s="744" t="s">
        <v>629</v>
      </c>
      <c r="B138" s="745" t="s">
        <v>632</v>
      </c>
      <c r="C138" s="755">
        <v>50000</v>
      </c>
      <c r="D138" s="488" t="s">
        <v>801</v>
      </c>
      <c r="E138" s="489" t="s">
        <v>984</v>
      </c>
    </row>
    <row r="139" spans="1:5" s="452" customFormat="1" ht="79.150000000000006" customHeight="1" x14ac:dyDescent="0.2">
      <c r="A139" s="744" t="s">
        <v>629</v>
      </c>
      <c r="B139" s="745" t="s">
        <v>632</v>
      </c>
      <c r="C139" s="755">
        <v>3000</v>
      </c>
      <c r="D139" s="488" t="s">
        <v>921</v>
      </c>
      <c r="E139" s="489" t="s">
        <v>920</v>
      </c>
    </row>
    <row r="140" spans="1:5" s="452" customFormat="1" ht="70.5" hidden="1" customHeight="1" x14ac:dyDescent="0.2">
      <c r="A140" s="744"/>
      <c r="B140" s="745"/>
      <c r="C140" s="755"/>
      <c r="D140" s="488"/>
      <c r="E140" s="489"/>
    </row>
    <row r="141" spans="1:5" s="452" customFormat="1" ht="63" hidden="1" customHeight="1" x14ac:dyDescent="0.2">
      <c r="A141" s="744" t="s">
        <v>629</v>
      </c>
      <c r="B141" s="745" t="s">
        <v>632</v>
      </c>
      <c r="C141" s="755"/>
      <c r="D141" s="488" t="s">
        <v>762</v>
      </c>
      <c r="E141" s="489" t="s">
        <v>756</v>
      </c>
    </row>
    <row r="142" spans="1:5" s="452" customFormat="1" ht="63" hidden="1" customHeight="1" x14ac:dyDescent="0.2">
      <c r="A142" s="744" t="s">
        <v>629</v>
      </c>
      <c r="B142" s="745" t="s">
        <v>632</v>
      </c>
      <c r="C142" s="755"/>
      <c r="D142" s="488" t="s">
        <v>762</v>
      </c>
      <c r="E142" s="489" t="s">
        <v>757</v>
      </c>
    </row>
    <row r="143" spans="1:5" s="452" customFormat="1" ht="63" hidden="1" customHeight="1" x14ac:dyDescent="0.2">
      <c r="A143" s="744" t="s">
        <v>629</v>
      </c>
      <c r="B143" s="745" t="s">
        <v>632</v>
      </c>
      <c r="C143" s="755"/>
      <c r="D143" s="488" t="s">
        <v>762</v>
      </c>
      <c r="E143" s="489" t="s">
        <v>758</v>
      </c>
    </row>
    <row r="144" spans="1:5" s="452" customFormat="1" ht="63" hidden="1" customHeight="1" x14ac:dyDescent="0.2">
      <c r="A144" s="744" t="s">
        <v>629</v>
      </c>
      <c r="B144" s="745" t="s">
        <v>632</v>
      </c>
      <c r="C144" s="755"/>
      <c r="D144" s="488" t="s">
        <v>762</v>
      </c>
      <c r="E144" s="489" t="s">
        <v>761</v>
      </c>
    </row>
    <row r="145" spans="1:5" s="452" customFormat="1" ht="63" hidden="1" customHeight="1" x14ac:dyDescent="0.2">
      <c r="A145" s="744" t="s">
        <v>629</v>
      </c>
      <c r="B145" s="745" t="s">
        <v>632</v>
      </c>
      <c r="C145" s="755"/>
      <c r="D145" s="488" t="s">
        <v>762</v>
      </c>
      <c r="E145" s="489" t="s">
        <v>763</v>
      </c>
    </row>
    <row r="146" spans="1:5" s="452" customFormat="1" ht="63" hidden="1" customHeight="1" x14ac:dyDescent="0.2">
      <c r="A146" s="744" t="s">
        <v>629</v>
      </c>
      <c r="B146" s="745" t="s">
        <v>632</v>
      </c>
      <c r="C146" s="755"/>
      <c r="D146" s="488" t="s">
        <v>762</v>
      </c>
      <c r="E146" s="489" t="s">
        <v>759</v>
      </c>
    </row>
    <row r="147" spans="1:5" s="452" customFormat="1" ht="72" hidden="1" customHeight="1" x14ac:dyDescent="0.2">
      <c r="A147" s="744" t="s">
        <v>629</v>
      </c>
      <c r="B147" s="745" t="s">
        <v>715</v>
      </c>
      <c r="C147" s="755"/>
      <c r="D147" s="488" t="s">
        <v>878</v>
      </c>
      <c r="E147" s="489" t="s">
        <v>902</v>
      </c>
    </row>
    <row r="148" spans="1:5" s="452" customFormat="1" ht="120.6" hidden="1" customHeight="1" x14ac:dyDescent="0.2">
      <c r="A148" s="744" t="s">
        <v>629</v>
      </c>
      <c r="B148" s="745" t="s">
        <v>720</v>
      </c>
      <c r="C148" s="488"/>
      <c r="D148" s="488" t="s">
        <v>880</v>
      </c>
      <c r="E148" s="512" t="s">
        <v>906</v>
      </c>
    </row>
    <row r="149" spans="1:5" s="452" customFormat="1" ht="91.15" hidden="1" customHeight="1" x14ac:dyDescent="0.2">
      <c r="A149" s="744" t="s">
        <v>629</v>
      </c>
      <c r="B149" s="745" t="s">
        <v>720</v>
      </c>
      <c r="C149" s="488"/>
      <c r="D149" s="488" t="s">
        <v>879</v>
      </c>
      <c r="E149" s="512" t="s">
        <v>907</v>
      </c>
    </row>
    <row r="150" spans="1:5" s="452" customFormat="1" ht="78.75" x14ac:dyDescent="0.2">
      <c r="A150" s="744" t="s">
        <v>629</v>
      </c>
      <c r="B150" s="745" t="s">
        <v>723</v>
      </c>
      <c r="C150" s="488">
        <v>-195000</v>
      </c>
      <c r="D150" s="488" t="s">
        <v>958</v>
      </c>
      <c r="E150" s="489" t="s">
        <v>987</v>
      </c>
    </row>
    <row r="151" spans="1:5" s="452" customFormat="1" ht="159.6" hidden="1" customHeight="1" thickBot="1" x14ac:dyDescent="0.25">
      <c r="A151" s="744" t="s">
        <v>629</v>
      </c>
      <c r="B151" s="745" t="s">
        <v>727</v>
      </c>
      <c r="C151" s="488"/>
      <c r="D151" s="488" t="s">
        <v>847</v>
      </c>
      <c r="E151" s="489" t="s">
        <v>854</v>
      </c>
    </row>
    <row r="152" spans="1:5" s="452" customFormat="1" ht="51" customHeight="1" x14ac:dyDescent="0.2">
      <c r="A152" s="453" t="s">
        <v>633</v>
      </c>
      <c r="B152" s="462" t="s">
        <v>459</v>
      </c>
      <c r="C152" s="488">
        <v>-1150</v>
      </c>
      <c r="D152" s="456" t="s">
        <v>957</v>
      </c>
      <c r="E152" s="457" t="s">
        <v>967</v>
      </c>
    </row>
    <row r="153" spans="1:5" s="452" customFormat="1" ht="94.5" customHeight="1" x14ac:dyDescent="0.2">
      <c r="A153" s="453" t="s">
        <v>633</v>
      </c>
      <c r="B153" s="462" t="s">
        <v>466</v>
      </c>
      <c r="C153" s="488">
        <f>33298+7326</f>
        <v>40624</v>
      </c>
      <c r="D153" s="456" t="s">
        <v>957</v>
      </c>
      <c r="E153" s="457" t="s">
        <v>968</v>
      </c>
    </row>
    <row r="154" spans="1:5" s="452" customFormat="1" ht="83.45" customHeight="1" x14ac:dyDescent="0.2">
      <c r="A154" s="453" t="s">
        <v>633</v>
      </c>
      <c r="B154" s="462" t="s">
        <v>469</v>
      </c>
      <c r="C154" s="488">
        <v>-40624</v>
      </c>
      <c r="D154" s="456" t="s">
        <v>957</v>
      </c>
      <c r="E154" s="450" t="s">
        <v>969</v>
      </c>
    </row>
    <row r="155" spans="1:5" s="452" customFormat="1" ht="63" hidden="1" customHeight="1" x14ac:dyDescent="0.2">
      <c r="A155" s="453" t="s">
        <v>633</v>
      </c>
      <c r="B155" s="462" t="s">
        <v>466</v>
      </c>
      <c r="C155" s="488"/>
      <c r="D155" s="456" t="s">
        <v>957</v>
      </c>
      <c r="E155" s="457" t="s">
        <v>635</v>
      </c>
    </row>
    <row r="156" spans="1:5" s="452" customFormat="1" ht="31.5" hidden="1" customHeight="1" x14ac:dyDescent="0.2">
      <c r="A156" s="464" t="s">
        <v>633</v>
      </c>
      <c r="B156" s="225" t="s">
        <v>469</v>
      </c>
      <c r="C156" s="753"/>
      <c r="D156" s="456" t="s">
        <v>957</v>
      </c>
      <c r="E156" s="457" t="s">
        <v>770</v>
      </c>
    </row>
    <row r="157" spans="1:5" s="452" customFormat="1" ht="88.15" hidden="1" customHeight="1" x14ac:dyDescent="0.2">
      <c r="A157" s="464" t="s">
        <v>633</v>
      </c>
      <c r="B157" s="225" t="s">
        <v>469</v>
      </c>
      <c r="C157" s="488"/>
      <c r="D157" s="456" t="s">
        <v>957</v>
      </c>
      <c r="E157" s="568" t="s">
        <v>825</v>
      </c>
    </row>
    <row r="158" spans="1:5" s="452" customFormat="1" ht="61.15" customHeight="1" thickBot="1" x14ac:dyDescent="0.25">
      <c r="A158" s="819" t="s">
        <v>633</v>
      </c>
      <c r="B158" s="820" t="s">
        <v>473</v>
      </c>
      <c r="C158" s="821">
        <v>1150</v>
      </c>
      <c r="D158" s="822" t="s">
        <v>957</v>
      </c>
      <c r="E158" s="823" t="s">
        <v>970</v>
      </c>
    </row>
    <row r="159" spans="1:5" s="452" customFormat="1" ht="103.9" hidden="1" customHeight="1" x14ac:dyDescent="0.2">
      <c r="A159" s="449" t="s">
        <v>633</v>
      </c>
      <c r="B159" s="760" t="s">
        <v>166</v>
      </c>
      <c r="C159" s="451"/>
      <c r="D159" s="817" t="s">
        <v>885</v>
      </c>
      <c r="E159" s="818" t="s">
        <v>889</v>
      </c>
    </row>
    <row r="160" spans="1:5" s="452" customFormat="1" ht="47.25" hidden="1" customHeight="1" x14ac:dyDescent="0.2">
      <c r="A160" s="468" t="s">
        <v>571</v>
      </c>
      <c r="B160" s="469" t="s">
        <v>480</v>
      </c>
      <c r="C160" s="454"/>
      <c r="D160" s="456" t="s">
        <v>636</v>
      </c>
      <c r="E160" s="450" t="s">
        <v>740</v>
      </c>
    </row>
    <row r="161" spans="1:6" s="448" customFormat="1" ht="63.75" hidden="1" customHeight="1" thickBot="1" x14ac:dyDescent="0.25">
      <c r="A161" s="468" t="s">
        <v>571</v>
      </c>
      <c r="B161" s="469" t="s">
        <v>480</v>
      </c>
      <c r="C161" s="454"/>
      <c r="D161" s="456" t="s">
        <v>636</v>
      </c>
      <c r="E161" s="450" t="s">
        <v>741</v>
      </c>
    </row>
    <row r="162" spans="1:6" ht="16.5" thickBot="1" x14ac:dyDescent="0.25">
      <c r="A162" s="962" t="s">
        <v>637</v>
      </c>
      <c r="B162" s="963"/>
      <c r="C162" s="470">
        <f>SUM(C7:C161)</f>
        <v>-58876</v>
      </c>
      <c r="D162" s="471">
        <f>C162-'Дод 1'!C97</f>
        <v>-161876</v>
      </c>
      <c r="E162" s="472">
        <f>C15+C46+C47+C48+C49+C50+C51</f>
        <v>195000</v>
      </c>
      <c r="F162" s="483"/>
    </row>
    <row r="163" spans="1:6" ht="16.5" thickBot="1" x14ac:dyDescent="0.25">
      <c r="A163" s="964" t="s">
        <v>638</v>
      </c>
      <c r="B163" s="965"/>
      <c r="C163" s="966"/>
      <c r="D163" s="966"/>
      <c r="E163" s="967"/>
    </row>
    <row r="164" spans="1:6" ht="48" hidden="1" customHeight="1" thickBot="1" x14ac:dyDescent="0.25">
      <c r="A164" s="458" t="s">
        <v>579</v>
      </c>
      <c r="B164" s="459" t="s">
        <v>17</v>
      </c>
      <c r="C164" s="467"/>
      <c r="D164" s="456" t="s">
        <v>584</v>
      </c>
      <c r="E164" s="450" t="s">
        <v>639</v>
      </c>
    </row>
    <row r="165" spans="1:6" ht="110.25" hidden="1" x14ac:dyDescent="0.2">
      <c r="A165" s="458" t="s">
        <v>579</v>
      </c>
      <c r="B165" s="690" t="s">
        <v>33</v>
      </c>
      <c r="C165" s="627"/>
      <c r="D165" s="627" t="s">
        <v>790</v>
      </c>
      <c r="E165" s="568" t="s">
        <v>798</v>
      </c>
    </row>
    <row r="166" spans="1:6" ht="110.25" hidden="1" x14ac:dyDescent="0.2">
      <c r="A166" s="465" t="s">
        <v>629</v>
      </c>
      <c r="B166" s="614" t="s">
        <v>720</v>
      </c>
      <c r="C166" s="463"/>
      <c r="D166" s="570" t="s">
        <v>790</v>
      </c>
      <c r="E166" s="568" t="s">
        <v>799</v>
      </c>
    </row>
    <row r="167" spans="1:6" ht="66" hidden="1" customHeight="1" thickBot="1" x14ac:dyDescent="0.25">
      <c r="A167" s="468" t="s">
        <v>579</v>
      </c>
      <c r="B167" s="797" t="s">
        <v>78</v>
      </c>
      <c r="C167" s="737"/>
      <c r="D167" s="782" t="s">
        <v>862</v>
      </c>
      <c r="E167" s="475" t="s">
        <v>861</v>
      </c>
    </row>
    <row r="168" spans="1:6" ht="72" hidden="1" customHeight="1" x14ac:dyDescent="0.2">
      <c r="A168" s="458" t="s">
        <v>579</v>
      </c>
      <c r="B168" s="762" t="s">
        <v>87</v>
      </c>
      <c r="C168" s="763"/>
      <c r="D168" s="798" t="s">
        <v>878</v>
      </c>
      <c r="E168" s="764" t="s">
        <v>913</v>
      </c>
    </row>
    <row r="169" spans="1:6" ht="105.6" hidden="1" customHeight="1" x14ac:dyDescent="0.2">
      <c r="A169" s="453" t="s">
        <v>579</v>
      </c>
      <c r="B169" s="462" t="s">
        <v>87</v>
      </c>
      <c r="C169" s="467"/>
      <c r="D169" s="627" t="s">
        <v>818</v>
      </c>
      <c r="E169" s="697" t="s">
        <v>826</v>
      </c>
    </row>
    <row r="170" spans="1:6" ht="45.6" hidden="1" customHeight="1" x14ac:dyDescent="0.2">
      <c r="A170" s="453" t="s">
        <v>579</v>
      </c>
      <c r="B170" s="462" t="s">
        <v>87</v>
      </c>
      <c r="C170" s="627"/>
      <c r="D170" s="627" t="s">
        <v>878</v>
      </c>
      <c r="E170" s="698" t="s">
        <v>903</v>
      </c>
    </row>
    <row r="171" spans="1:6" ht="102" hidden="1" customHeight="1" x14ac:dyDescent="0.2">
      <c r="A171" s="453" t="s">
        <v>579</v>
      </c>
      <c r="B171" s="462" t="s">
        <v>87</v>
      </c>
      <c r="C171" s="467"/>
      <c r="D171" s="467" t="s">
        <v>593</v>
      </c>
      <c r="E171" s="457" t="s">
        <v>640</v>
      </c>
    </row>
    <row r="172" spans="1:6" ht="102" hidden="1" customHeight="1" x14ac:dyDescent="0.2">
      <c r="A172" s="453" t="s">
        <v>579</v>
      </c>
      <c r="B172" s="462" t="s">
        <v>594</v>
      </c>
      <c r="C172" s="467"/>
      <c r="D172" s="467" t="s">
        <v>641</v>
      </c>
      <c r="E172" s="450" t="s">
        <v>642</v>
      </c>
    </row>
    <row r="173" spans="1:6" ht="102" hidden="1" customHeight="1" x14ac:dyDescent="0.2">
      <c r="A173" s="453" t="s">
        <v>579</v>
      </c>
      <c r="B173" s="462" t="s">
        <v>540</v>
      </c>
      <c r="C173" s="467"/>
      <c r="D173" s="467" t="s">
        <v>581</v>
      </c>
      <c r="E173" s="460" t="s">
        <v>643</v>
      </c>
    </row>
    <row r="174" spans="1:6" ht="102" hidden="1" customHeight="1" x14ac:dyDescent="0.2">
      <c r="A174" s="453" t="s">
        <v>579</v>
      </c>
      <c r="B174" s="462" t="s">
        <v>420</v>
      </c>
      <c r="C174" s="467"/>
      <c r="D174" s="467" t="s">
        <v>719</v>
      </c>
      <c r="E174" s="460" t="s">
        <v>718</v>
      </c>
    </row>
    <row r="175" spans="1:6" ht="102" hidden="1" customHeight="1" x14ac:dyDescent="0.2">
      <c r="A175" s="453" t="s">
        <v>579</v>
      </c>
      <c r="B175" s="462" t="s">
        <v>550</v>
      </c>
      <c r="C175" s="781"/>
      <c r="D175" s="781" t="s">
        <v>878</v>
      </c>
      <c r="E175" s="489" t="s">
        <v>865</v>
      </c>
    </row>
    <row r="176" spans="1:6" ht="63" hidden="1" x14ac:dyDescent="0.2">
      <c r="A176" s="453" t="s">
        <v>579</v>
      </c>
      <c r="B176" s="462" t="s">
        <v>550</v>
      </c>
      <c r="C176" s="467"/>
      <c r="D176" s="488" t="s">
        <v>855</v>
      </c>
      <c r="E176" s="489" t="s">
        <v>909</v>
      </c>
    </row>
    <row r="177" spans="1:5" ht="102" hidden="1" customHeight="1" thickBot="1" x14ac:dyDescent="0.25">
      <c r="A177" s="453" t="s">
        <v>579</v>
      </c>
      <c r="B177" s="455" t="s">
        <v>550</v>
      </c>
      <c r="C177" s="454"/>
      <c r="D177" s="570" t="s">
        <v>878</v>
      </c>
      <c r="E177" s="489" t="s">
        <v>881</v>
      </c>
    </row>
    <row r="178" spans="1:5" ht="102" hidden="1" customHeight="1" thickBot="1" x14ac:dyDescent="0.25">
      <c r="A178" s="453" t="s">
        <v>579</v>
      </c>
      <c r="B178" s="455" t="s">
        <v>420</v>
      </c>
      <c r="C178" s="454"/>
      <c r="D178" s="763" t="s">
        <v>855</v>
      </c>
      <c r="E178" s="457" t="s">
        <v>662</v>
      </c>
    </row>
    <row r="179" spans="1:5" ht="35.450000000000003" hidden="1" customHeight="1" thickBot="1" x14ac:dyDescent="0.25">
      <c r="A179" s="468" t="s">
        <v>579</v>
      </c>
      <c r="B179" s="797" t="s">
        <v>423</v>
      </c>
      <c r="C179" s="737"/>
      <c r="D179" s="807" t="s">
        <v>855</v>
      </c>
      <c r="E179" s="808" t="s">
        <v>674</v>
      </c>
    </row>
    <row r="180" spans="1:5" ht="123.6" customHeight="1" x14ac:dyDescent="0.2">
      <c r="A180" s="458" t="s">
        <v>579</v>
      </c>
      <c r="B180" s="459" t="s">
        <v>133</v>
      </c>
      <c r="C180" s="812">
        <v>97363.42</v>
      </c>
      <c r="D180" s="763" t="s">
        <v>961</v>
      </c>
      <c r="E180" s="813" t="s">
        <v>963</v>
      </c>
    </row>
    <row r="181" spans="1:5" ht="123" customHeight="1" x14ac:dyDescent="0.2">
      <c r="A181" s="453" t="s">
        <v>579</v>
      </c>
      <c r="B181" s="462" t="s">
        <v>133</v>
      </c>
      <c r="C181" s="467">
        <v>-97363.42</v>
      </c>
      <c r="D181" s="488" t="s">
        <v>961</v>
      </c>
      <c r="E181" s="698" t="s">
        <v>962</v>
      </c>
    </row>
    <row r="182" spans="1:5" ht="102" hidden="1" customHeight="1" x14ac:dyDescent="0.2">
      <c r="A182" s="453" t="s">
        <v>579</v>
      </c>
      <c r="B182" s="462" t="s">
        <v>540</v>
      </c>
      <c r="C182" s="467"/>
      <c r="D182" s="488" t="s">
        <v>855</v>
      </c>
      <c r="E182" s="457" t="s">
        <v>644</v>
      </c>
    </row>
    <row r="183" spans="1:5" ht="78.75" hidden="1" x14ac:dyDescent="0.2">
      <c r="A183" s="453" t="s">
        <v>579</v>
      </c>
      <c r="B183" s="462" t="s">
        <v>104</v>
      </c>
      <c r="C183" s="467"/>
      <c r="D183" s="488" t="s">
        <v>888</v>
      </c>
      <c r="E183" s="750" t="s">
        <v>914</v>
      </c>
    </row>
    <row r="184" spans="1:5" ht="94.5" hidden="1" x14ac:dyDescent="0.2">
      <c r="A184" s="453" t="s">
        <v>579</v>
      </c>
      <c r="B184" s="462" t="s">
        <v>104</v>
      </c>
      <c r="C184" s="467"/>
      <c r="D184" s="488" t="s">
        <v>855</v>
      </c>
      <c r="E184" s="450" t="s">
        <v>645</v>
      </c>
    </row>
    <row r="185" spans="1:5" ht="91.15" customHeight="1" x14ac:dyDescent="0.2">
      <c r="A185" s="464" t="s">
        <v>579</v>
      </c>
      <c r="B185" s="745" t="s">
        <v>927</v>
      </c>
      <c r="C185" s="488">
        <v>99500</v>
      </c>
      <c r="D185" s="488" t="s">
        <v>936</v>
      </c>
      <c r="E185" s="784" t="s">
        <v>928</v>
      </c>
    </row>
    <row r="186" spans="1:5" ht="94.5" hidden="1" x14ac:dyDescent="0.2">
      <c r="A186" s="800" t="s">
        <v>579</v>
      </c>
      <c r="B186" s="801" t="s">
        <v>935</v>
      </c>
      <c r="C186" s="781"/>
      <c r="D186" s="488" t="s">
        <v>926</v>
      </c>
      <c r="E186" s="802" t="s">
        <v>940</v>
      </c>
    </row>
    <row r="187" spans="1:5" ht="126" hidden="1" x14ac:dyDescent="0.2">
      <c r="A187" s="683" t="s">
        <v>614</v>
      </c>
      <c r="B187" s="745" t="s">
        <v>146</v>
      </c>
      <c r="C187" s="488"/>
      <c r="D187" s="488" t="s">
        <v>882</v>
      </c>
      <c r="E187" s="489" t="s">
        <v>915</v>
      </c>
    </row>
    <row r="188" spans="1:5" ht="73.900000000000006" hidden="1" customHeight="1" x14ac:dyDescent="0.2">
      <c r="A188" s="683" t="s">
        <v>614</v>
      </c>
      <c r="B188" s="745" t="s">
        <v>455</v>
      </c>
      <c r="C188" s="488"/>
      <c r="D188" s="488" t="s">
        <v>882</v>
      </c>
      <c r="E188" s="489" t="s">
        <v>904</v>
      </c>
    </row>
    <row r="189" spans="1:5" ht="102" hidden="1" customHeight="1" x14ac:dyDescent="0.2">
      <c r="A189" s="453" t="s">
        <v>614</v>
      </c>
      <c r="B189" s="462" t="s">
        <v>646</v>
      </c>
      <c r="C189" s="467"/>
      <c r="D189" s="488" t="s">
        <v>882</v>
      </c>
      <c r="E189" s="489" t="s">
        <v>884</v>
      </c>
    </row>
    <row r="190" spans="1:5" ht="150" customHeight="1" thickBot="1" x14ac:dyDescent="0.25">
      <c r="A190" s="814" t="s">
        <v>571</v>
      </c>
      <c r="B190" s="815" t="s">
        <v>748</v>
      </c>
      <c r="C190" s="766">
        <v>112376</v>
      </c>
      <c r="D190" s="816" t="s">
        <v>939</v>
      </c>
      <c r="E190" s="767" t="s">
        <v>925</v>
      </c>
    </row>
    <row r="191" spans="1:5" ht="94.5" hidden="1" customHeight="1" x14ac:dyDescent="0.2">
      <c r="A191" s="449" t="s">
        <v>571</v>
      </c>
      <c r="B191" s="760" t="s">
        <v>747</v>
      </c>
      <c r="C191" s="809"/>
      <c r="D191" s="810" t="s">
        <v>728</v>
      </c>
      <c r="E191" s="811" t="s">
        <v>755</v>
      </c>
    </row>
    <row r="192" spans="1:5" ht="126" hidden="1" customHeight="1" x14ac:dyDescent="0.2">
      <c r="A192" s="453" t="s">
        <v>571</v>
      </c>
      <c r="B192" s="455" t="s">
        <v>747</v>
      </c>
      <c r="C192" s="511"/>
      <c r="D192" s="456" t="s">
        <v>730</v>
      </c>
      <c r="E192" s="489" t="s">
        <v>767</v>
      </c>
    </row>
    <row r="193" spans="1:6" ht="78.75" hidden="1" customHeight="1" x14ac:dyDescent="0.2">
      <c r="A193" s="453" t="s">
        <v>614</v>
      </c>
      <c r="B193" s="462" t="s">
        <v>646</v>
      </c>
      <c r="C193" s="466"/>
      <c r="D193" s="456" t="s">
        <v>625</v>
      </c>
      <c r="E193" s="450" t="s">
        <v>647</v>
      </c>
    </row>
    <row r="194" spans="1:6" ht="63" hidden="1" customHeight="1" x14ac:dyDescent="0.2">
      <c r="A194" s="465" t="s">
        <v>629</v>
      </c>
      <c r="B194" s="455" t="s">
        <v>631</v>
      </c>
      <c r="C194" s="569"/>
      <c r="D194" s="570" t="s">
        <v>658</v>
      </c>
      <c r="E194" s="568" t="s">
        <v>700</v>
      </c>
    </row>
    <row r="195" spans="1:6" ht="31.5" hidden="1" customHeight="1" x14ac:dyDescent="0.2">
      <c r="A195" s="468" t="s">
        <v>633</v>
      </c>
      <c r="B195" s="473" t="s">
        <v>634</v>
      </c>
      <c r="C195" s="466"/>
      <c r="D195" s="474" t="s">
        <v>648</v>
      </c>
      <c r="E195" s="475" t="s">
        <v>649</v>
      </c>
    </row>
    <row r="196" spans="1:6" ht="63" hidden="1" customHeight="1" x14ac:dyDescent="0.2">
      <c r="A196" s="468" t="s">
        <v>633</v>
      </c>
      <c r="B196" s="473" t="s">
        <v>462</v>
      </c>
      <c r="C196" s="466"/>
      <c r="D196" s="474" t="s">
        <v>650</v>
      </c>
      <c r="E196" s="476" t="s">
        <v>651</v>
      </c>
    </row>
    <row r="197" spans="1:6" ht="63" hidden="1" customHeight="1" x14ac:dyDescent="0.2">
      <c r="A197" s="453" t="s">
        <v>633</v>
      </c>
      <c r="B197" s="473" t="s">
        <v>469</v>
      </c>
      <c r="C197" s="466"/>
      <c r="D197" s="474" t="s">
        <v>650</v>
      </c>
      <c r="E197" s="476" t="s">
        <v>652</v>
      </c>
    </row>
    <row r="198" spans="1:6" ht="48" hidden="1" customHeight="1" thickBot="1" x14ac:dyDescent="0.25">
      <c r="A198" s="477" t="s">
        <v>633</v>
      </c>
      <c r="B198" s="478" t="s">
        <v>473</v>
      </c>
      <c r="C198" s="466"/>
      <c r="D198" s="479" t="s">
        <v>653</v>
      </c>
      <c r="E198" s="457" t="s">
        <v>654</v>
      </c>
    </row>
    <row r="199" spans="1:6" ht="16.5" thickBot="1" x14ac:dyDescent="0.25">
      <c r="A199" s="949" t="s">
        <v>637</v>
      </c>
      <c r="B199" s="950"/>
      <c r="C199" s="480">
        <f>SUM(C164:C198)</f>
        <v>211876</v>
      </c>
      <c r="D199" s="481">
        <f>C199-C186</f>
        <v>211876</v>
      </c>
      <c r="E199" s="482">
        <v>57537.520000000004</v>
      </c>
      <c r="F199" s="483"/>
    </row>
    <row r="200" spans="1:6" ht="16.5" thickBot="1" x14ac:dyDescent="0.25">
      <c r="A200" s="951" t="s">
        <v>655</v>
      </c>
      <c r="B200" s="952"/>
      <c r="C200" s="470">
        <f>C162+C199</f>
        <v>153000</v>
      </c>
      <c r="D200" s="484">
        <f>C199-D199</f>
        <v>0</v>
      </c>
      <c r="E200" s="485">
        <f>E199-C120</f>
        <v>7537.5200000000041</v>
      </c>
    </row>
    <row r="201" spans="1:6" ht="46.9" hidden="1" customHeight="1" x14ac:dyDescent="0.2">
      <c r="A201" s="953" t="s">
        <v>738</v>
      </c>
      <c r="B201" s="954"/>
      <c r="C201" s="954"/>
      <c r="D201" s="954"/>
      <c r="E201" s="954"/>
    </row>
    <row r="202" spans="1:6" ht="56.25" customHeight="1" x14ac:dyDescent="0.25">
      <c r="A202" s="955" t="s">
        <v>992</v>
      </c>
      <c r="B202" s="955"/>
      <c r="C202" s="955"/>
      <c r="D202" s="955"/>
      <c r="E202" s="955"/>
    </row>
    <row r="203" spans="1:6" ht="15.75" hidden="1" x14ac:dyDescent="0.2">
      <c r="A203" s="436"/>
      <c r="B203" s="437"/>
      <c r="C203" s="438">
        <f>D199+'Дод 1'!C97</f>
        <v>314876</v>
      </c>
      <c r="D203" s="439">
        <f>C200-D199-'Дод 1'!C97</f>
        <v>-161876</v>
      </c>
      <c r="E203" s="439"/>
    </row>
    <row r="204" spans="1:6" hidden="1" x14ac:dyDescent="0.2">
      <c r="C204" s="487">
        <f>C199+355196</f>
        <v>567072</v>
      </c>
      <c r="E204" s="483"/>
    </row>
    <row r="205" spans="1:6" hidden="1" x14ac:dyDescent="0.2">
      <c r="C205" s="487">
        <f>D199-C204</f>
        <v>-355196</v>
      </c>
    </row>
    <row r="206" spans="1:6" x14ac:dyDescent="0.2">
      <c r="C206" s="487">
        <f>C185+C190</f>
        <v>211876</v>
      </c>
    </row>
    <row r="207" spans="1:6" hidden="1" x14ac:dyDescent="0.2">
      <c r="E207" s="441" t="s">
        <v>864</v>
      </c>
    </row>
  </sheetData>
  <autoFilter ref="A6:E190"/>
  <mergeCells count="10">
    <mergeCell ref="A199:B199"/>
    <mergeCell ref="A200:B200"/>
    <mergeCell ref="A201:E201"/>
    <mergeCell ref="A202:E202"/>
    <mergeCell ref="A2:E2"/>
    <mergeCell ref="A3:E3"/>
    <mergeCell ref="A4:C4"/>
    <mergeCell ref="A5:C5"/>
    <mergeCell ref="A162:B162"/>
    <mergeCell ref="A163:E163"/>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5 '!Заголовки_для_печати</vt:lpstr>
      <vt:lpstr>'дод 6 '!Заголовки_для_печати</vt:lpstr>
      <vt:lpstr>дод.8!Заголовки_для_печати</vt:lpstr>
      <vt:lpstr>дод7!Заголовки_для_печати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2021-08-17T08:52:24Z</cp:lastPrinted>
  <dcterms:created xsi:type="dcterms:W3CDTF">2020-12-30T10:03:27Z</dcterms:created>
  <dcterms:modified xsi:type="dcterms:W3CDTF">2021-08-17T10:04:34Z</dcterms:modified>
</cp:coreProperties>
</file>